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kseenkovv\Documents\РАБОЧИЙ СТОЛ\ESG\Показатели по ESG\ESG Databook\"/>
    </mc:Choice>
  </mc:AlternateContent>
  <bookViews>
    <workbookView xWindow="-120" yWindow="-120" windowWidth="29040" windowHeight="15840" tabRatio="326"/>
  </bookViews>
  <sheets>
    <sheet name="MENU" sheetId="4" r:id="rId1"/>
    <sheet name="ENVIRONMENT" sheetId="5" r:id="rId2"/>
    <sheet name="SOCIAL" sheetId="2" r:id="rId3"/>
    <sheet name="Cognos_Office_Connection_Cache" sheetId="7" state="veryHidden" r:id="rId4"/>
    <sheet name="GOVERNANCE" sheetId="6" r:id="rId5"/>
  </sheets>
  <externalReferences>
    <externalReference r:id="rId6"/>
    <externalReference r:id="rId7"/>
    <externalReference r:id="rId8"/>
    <externalReference r:id="rId9"/>
  </externalReferences>
  <definedNames>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FDS_HYPERLINK_TOGGLE_STATE__" hidden="1">"ON"</definedName>
    <definedName name="__ww2" localSheetId="0" hidden="1">{#N/A,#N/A,FALSE,"REC";#N/A,#N/A,FALSE,"ASSETS";#N/A,#N/A,FALSE,"LIABILITIES";#N/A,#N/A,FALSE,"P&amp;L";#N/A,#N/A,FALSE,"FUNDS";#N/A,#N/A,FALSE,"CASH";#N/A,#N/A,FALSE,"1,2";#N/A,#N/A,FALSE,"3";#N/A,#N/A,FALSE,"4";#N/A,#N/A,FALSE,"5,6,7";#N/A,#N/A,FALSE,"8,9"}</definedName>
    <definedName name="__ww2" hidden="1">{#N/A,#N/A,FALSE,"REC";#N/A,#N/A,FALSE,"ASSETS";#N/A,#N/A,FALSE,"LIABILITIES";#N/A,#N/A,FALSE,"P&amp;L";#N/A,#N/A,FALSE,"FUNDS";#N/A,#N/A,FALSE,"CASH";#N/A,#N/A,FALSE,"1,2";#N/A,#N/A,FALSE,"3";#N/A,#N/A,FALSE,"4";#N/A,#N/A,FALSE,"5,6,7";#N/A,#N/A,FALSE,"8,9"}</definedName>
    <definedName name="__ww23" localSheetId="0"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localSheetId="0"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Sort" localSheetId="0" hidden="1">#REF!</definedName>
    <definedName name="_Sort" hidden="1">#REF!</definedName>
    <definedName name="_ww2" localSheetId="0" hidden="1">{#N/A,#N/A,FALSE,"REC";#N/A,#N/A,FALSE,"ASSETS";#N/A,#N/A,FALSE,"LIABILITIES";#N/A,#N/A,FALSE,"P&amp;L";#N/A,#N/A,FALSE,"FUNDS";#N/A,#N/A,FALSE,"CASH";#N/A,#N/A,FALSE,"1,2";#N/A,#N/A,FALSE,"3";#N/A,#N/A,FALSE,"4";#N/A,#N/A,FALSE,"5,6,7";#N/A,#N/A,FALSE,"8,9"}</definedName>
    <definedName name="_ww2" hidden="1">{#N/A,#N/A,FALSE,"REC";#N/A,#N/A,FALSE,"ASSETS";#N/A,#N/A,FALSE,"LIABILITIES";#N/A,#N/A,FALSE,"P&amp;L";#N/A,#N/A,FALSE,"FUNDS";#N/A,#N/A,FALSE,"CASH";#N/A,#N/A,FALSE,"1,2";#N/A,#N/A,FALSE,"3";#N/A,#N/A,FALSE,"4";#N/A,#N/A,FALSE,"5,6,7";#N/A,#N/A,FALSE,"8,9"}</definedName>
    <definedName name="_ww23" localSheetId="0"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localSheetId="0"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0" hidden="1">#REF!</definedName>
    <definedName name="_xlnm._FilterDatabase" hidden="1">#REF!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wvu.summary1." hidden="1">[2]Comps!$A$1:$AA$49</definedName>
    <definedName name="ACwvu.summary2." hidden="1">[2]Comps!$A$147:$AA$192</definedName>
    <definedName name="ACwvu.summary3." hidden="1">[2]Comps!$A$103:$AA$146</definedName>
    <definedName name="All" localSheetId="0"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localSheetId="0" hidden="1">{"FCB_ALL",#N/A,FALSE,"FCB"}</definedName>
    <definedName name="as" hidden="1">{"FCB_ALL",#N/A,FALSE,"FCB"}</definedName>
    <definedName name="awe" localSheetId="0" hidden="1">{#N/A,#N/A,FALSE,"REC";#N/A,#N/A,FALSE,"ASSETS";#N/A,#N/A,FALSE,"LIABILITIES";#N/A,#N/A,FALSE,"P&amp;L";#N/A,#N/A,FALSE,"FUNDS";#N/A,#N/A,FALSE,"CASH";#N/A,#N/A,FALSE,"1,2";#N/A,#N/A,FALSE,"3";#N/A,#N/A,FALSE,"4";#N/A,#N/A,FALSE,"5,6,7";#N/A,#N/A,FALSE,"8,9"}</definedName>
    <definedName name="awe" hidden="1">{#N/A,#N/A,FALSE,"REC";#N/A,#N/A,FALSE,"ASSETS";#N/A,#N/A,FALSE,"LIABILITIES";#N/A,#N/A,FALSE,"P&amp;L";#N/A,#N/A,FALSE,"FUNDS";#N/A,#N/A,FALSE,"CASH";#N/A,#N/A,FALSE,"1,2";#N/A,#N/A,FALSE,"3";#N/A,#N/A,FALSE,"4";#N/A,#N/A,FALSE,"5,6,7";#N/A,#N/A,FALSE,"8,9"}</definedName>
    <definedName name="bbv" localSheetId="0"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n" localSheetId="0" hidden="1">{#N/A,#N/A,FALSE,"REC";#N/A,#N/A,FALSE,"ASSETS";#N/A,#N/A,FALSE,"LIABILITIES";#N/A,#N/A,FALSE,"P&amp;L";#N/A,#N/A,FALSE,"FUNDS";#N/A,#N/A,FALSE,"CASH";#N/A,#N/A,FALSE,"1,2";#N/A,#N/A,FALSE,"3";#N/A,#N/A,FALSE,"4";#N/A,#N/A,FALSE,"5,6,7";#N/A,#N/A,FALSE,"8,9"}</definedName>
    <definedName name="bn" hidden="1">{#N/A,#N/A,FALSE,"REC";#N/A,#N/A,FALSE,"ASSETS";#N/A,#N/A,FALSE,"LIABILITIES";#N/A,#N/A,FALSE,"P&amp;L";#N/A,#N/A,FALSE,"FUNDS";#N/A,#N/A,FALSE,"CASH";#N/A,#N/A,FALSE,"1,2";#N/A,#N/A,FALSE,"3";#N/A,#N/A,FALSE,"4";#N/A,#N/A,FALSE,"5,6,7";#N/A,#N/A,FALSE,"8,9"}</definedName>
    <definedName name="cdvv" localSheetId="0"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dddddd" localSheetId="0" hidden="1">{"FCB_ALL",#N/A,FALSE,"FCB";"GREY_ALL",#N/A,FALSE,"GREY"}</definedName>
    <definedName name="dddddd" hidden="1">{"FCB_ALL",#N/A,FALSE,"FCB";"GREY_ALL",#N/A,FALSE,"GREY"}</definedName>
    <definedName name="dfd" localSheetId="0" hidden="1">{"FCB_ALL",#N/A,FALSE,"FCB";"GREY_ALL",#N/A,FALSE,"GREY"}</definedName>
    <definedName name="dfd" hidden="1">{"FCB_ALL",#N/A,FALSE,"FCB";"GREY_ALL",#N/A,FALSE,"GREY"}</definedName>
    <definedName name="dfdas" localSheetId="0" hidden="1">{"FCB_ALL",#N/A,FALSE,"FCB";"GREY_ALL",#N/A,FALSE,"GREY"}</definedName>
    <definedName name="dfdas" hidden="1">{"FCB_ALL",#N/A,FALSE,"FCB";"GREY_ALL",#N/A,FALSE,"GREY"}</definedName>
    <definedName name="dfdfd" localSheetId="0" hidden="1">{"FCB_ALL",#N/A,FALSE,"FCB";"GREY_ALL",#N/A,FALSE,"GREY"}</definedName>
    <definedName name="dfdfd" hidden="1">{"FCB_ALL",#N/A,FALSE,"FCB";"GREY_ALL",#N/A,FALSE,"GREY"}</definedName>
    <definedName name="dfdfdfd" localSheetId="0" hidden="1">{"FCB_ALL",#N/A,FALSE,"FCB"}</definedName>
    <definedName name="dfdfdfd" hidden="1">{"FCB_ALL",#N/A,FALSE,"FCB"}</definedName>
    <definedName name="draka"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localSheetId="0" hidden="1">{#N/A,#N/A,FALSE,"REC";#N/A,#N/A,FALSE,"ASSETS";#N/A,#N/A,FALSE,"LIABILITIES";#N/A,#N/A,FALSE,"P&amp;L";#N/A,#N/A,FALSE,"FUNDS";#N/A,#N/A,FALSE,"CASH";#N/A,#N/A,FALSE,"1,2";#N/A,#N/A,FALSE,"3";#N/A,#N/A,FALSE,"4";#N/A,#N/A,FALSE,"5,6,7";#N/A,#N/A,FALSE,"8,9"}</definedName>
    <definedName name="eds" hidden="1">{#N/A,#N/A,FALSE,"REC";#N/A,#N/A,FALSE,"ASSETS";#N/A,#N/A,FALSE,"LIABILITIES";#N/A,#N/A,FALSE,"P&amp;L";#N/A,#N/A,FALSE,"FUNDS";#N/A,#N/A,FALSE,"CASH";#N/A,#N/A,FALSE,"1,2";#N/A,#N/A,FALSE,"3";#N/A,#N/A,FALSE,"4";#N/A,#N/A,FALSE,"5,6,7";#N/A,#N/A,FALSE,"8,9"}</definedName>
    <definedName name="edw" localSheetId="0"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localSheetId="0" hidden="1">{#N/A,#N/A,FALSE,"Italy";#N/A,#N/A,FALSE,"Aperol Italy";#N/A,#N/A,FALSE,"Aperol Soda Italy";#N/A,#N/A,FALSE,"Spumanti";#N/A,#N/A,FALSE,"Barbieri Liqueur Italy";#N/A,#N/A,FALSE,"Others Italy"}</definedName>
    <definedName name="erref" hidden="1">{#N/A,#N/A,FALSE,"Italy";#N/A,#N/A,FALSE,"Aperol Italy";#N/A,#N/A,FALSE,"Aperol Soda Italy";#N/A,#N/A,FALSE,"Spumanti";#N/A,#N/A,FALSE,"Barbieri Liqueur Italy";#N/A,#N/A,FALSE,"Others Italy"}</definedName>
    <definedName name="EV__LASTREFTIME__" hidden="1">39721.7266087963</definedName>
    <definedName name="HTML_Control" localSheetId="0" hidden="1">{"'КУЛАКОВ Ю.В.'!$A$1:$AP$78"}</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Title" hidden="1">"БЮДЖЕТ_0398изм11"</definedName>
    <definedName name="ID" localSheetId="3" hidden="1">"cfeaacce-3897-425a-84c3-e5228aa2e849"</definedName>
    <definedName name="ID" localSheetId="1" hidden="1">"d946803f-a98b-429e-9a73-b2874fc02fb6"</definedName>
    <definedName name="ID" localSheetId="4" hidden="1">"6d26f704-fc63-4f18-9850-57a1829e16d8"</definedName>
    <definedName name="ID" localSheetId="0" hidden="1">"4a922d51-cca2-44f9-ac63-00a082b6a736"</definedName>
    <definedName name="ID" localSheetId="2" hidden="1">"37c0d857-5944-4a34-8c5d-07707d7f348e"</definedName>
    <definedName name="iuy" localSheetId="0" hidden="1">{#N/A,#N/A,FALSE,"REC";#N/A,#N/A,FALSE,"ASSETS";#N/A,#N/A,FALSE,"LIABILITIES";#N/A,#N/A,FALSE,"P&amp;L";#N/A,#N/A,FALSE,"FUNDS";#N/A,#N/A,FALSE,"CASH";#N/A,#N/A,FALSE,"1,2";#N/A,#N/A,FALSE,"3";#N/A,#N/A,FALSE,"4";#N/A,#N/A,FALSE,"5,6,7";#N/A,#N/A,FALSE,"8,9"}</definedName>
    <definedName name="iuy" hidden="1">{#N/A,#N/A,FALSE,"REC";#N/A,#N/A,FALSE,"ASSETS";#N/A,#N/A,FALSE,"LIABILITIES";#N/A,#N/A,FALSE,"P&amp;L";#N/A,#N/A,FALSE,"FUNDS";#N/A,#N/A,FALSE,"CASH";#N/A,#N/A,FALSE,"1,2";#N/A,#N/A,FALSE,"3";#N/A,#N/A,FALSE,"4";#N/A,#N/A,FALSE,"5,6,7";#N/A,#N/A,FALSE,"8,9"}</definedName>
    <definedName name="lkjlklkjlkjlkj" localSheetId="0" hidden="1">{"page1",#N/A,TRUE,"CSC";"page2",#N/A,TRUE,"CSC"}</definedName>
    <definedName name="lkjlklkjlkjlkj" hidden="1">{"page1",#N/A,TRUE,"CSC";"page2",#N/A,TRUE,"CSC"}</definedName>
    <definedName name="ll" localSheetId="0"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localSheetId="0" hidden="1">{#N/A,#N/A,FALSE,"REC";#N/A,#N/A,FALSE,"ASSETS";#N/A,#N/A,FALSE,"LIABILITIES";#N/A,#N/A,FALSE,"P&amp;L";#N/A,#N/A,FALSE,"FUNDS";#N/A,#N/A,FALSE,"CASH";#N/A,#N/A,FALSE,"1,2";#N/A,#N/A,FALSE,"3";#N/A,#N/A,FALSE,"4";#N/A,#N/A,FALSE,"5,6,7";#N/A,#N/A,FALSE,"8,9"}</definedName>
    <definedName name="mrn.sve44" hidden="1">{#N/A,#N/A,FALSE,"REC";#N/A,#N/A,FALSE,"ASSETS";#N/A,#N/A,FALSE,"LIABILITIES";#N/A,#N/A,FALSE,"P&amp;L";#N/A,#N/A,FALSE,"FUNDS";#N/A,#N/A,FALSE,"CASH";#N/A,#N/A,FALSE,"1,2";#N/A,#N/A,FALSE,"3";#N/A,#N/A,FALSE,"4";#N/A,#N/A,FALSE,"5,6,7";#N/A,#N/A,FALSE,"8,9"}</definedName>
    <definedName name="mrn.sverka5" localSheetId="0"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localSheetId="0" hidden="1">{"CSC_1",#N/A,FALSE,"CSC Outputs";"CSC_2",#N/A,FALSE,"CSC Outputs"}</definedName>
    <definedName name="New" hidden="1">{"CSC_1",#N/A,FALSE,"CSC Outputs";"CSC_2",#N/A,FALSE,"CSC Outputs"}</definedName>
    <definedName name="Print_CSC_Report_3" localSheetId="0" hidden="1">{"CSC_1",#N/A,FALSE,"CSC Outputs";"CSC_2",#N/A,FALSE,"CSC Outputs"}</definedName>
    <definedName name="Print_CSC_Report_3" hidden="1">{"CSC_1",#N/A,FALSE,"CSC Outputs";"CSC_2",#N/A,FALSE,"CSC Outputs"}</definedName>
    <definedName name="PrintBuyer" localSheetId="0" hidden="1">{#N/A,"DR",FALSE,"increm pf";#N/A,"MAMSI",FALSE,"increm pf";#N/A,"MAXI",FALSE,"increm pf";#N/A,"PCAM",FALSE,"increm pf";#N/A,"PHSV",FALSE,"increm pf";#N/A,"SIE",FALSE,"increm pf"}</definedName>
    <definedName name="PrintBuyer" hidden="1">{#N/A,"DR",FALSE,"increm pf";#N/A,"MAMSI",FALSE,"increm pf";#N/A,"MAXI",FALSE,"increm pf";#N/A,"PCAM",FALSE,"increm pf";#N/A,"PHSV",FALSE,"increm pf";#N/A,"SIE",FALSE,"increm pf"}</definedName>
    <definedName name="rename_of_wrn.CSC" localSheetId="0" hidden="1">{"page1",#N/A,TRUE,"CSC";"page2",#N/A,TRUE,"CSC"}</definedName>
    <definedName name="rename_of_wrn.CSC" hidden="1">{"page1",#N/A,TRUE,"CSC";"page2",#N/A,TRUE,"CSC"}</definedName>
    <definedName name="Swvu.summary3." hidden="1">[2]Comps!$A$103:$AA$146</definedName>
    <definedName name="wrn.Alex." localSheetId="0" hidden="1">{#N/A,#N/A,FALSE,"TradeSumm";#N/A,#N/A,FALSE,"StatsSumm"}</definedName>
    <definedName name="wrn.Alex." hidden="1">{#N/A,#N/A,FALSE,"TradeSumm";#N/A,#N/A,FALSE,"StatsSumm"}</definedName>
    <definedName name="wrn.all." localSheetId="0"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localSheetId="0"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Asia." localSheetId="0"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localSheetId="0" hidden="1">{"Assumptions",#N/A,FALSE,"Assum"}</definedName>
    <definedName name="wrn.Assumptions." hidden="1">{"Assumptions",#N/A,FALSE,"Assum"}</definedName>
    <definedName name="wrn.CAG." localSheetId="0" hidden="1">{#N/A,#N/A,FALSE,"CAG"}</definedName>
    <definedName name="wrn.CAG." hidden="1">{#N/A,#N/A,FALSE,"CAG"}</definedName>
    <definedName name="wrn.Cider." localSheetId="0" hidden="1">{#N/A,#N/A,FALSE,"Cider Segment";#N/A,#N/A,FALSE,"Bulmers";#N/A,#N/A,FALSE,"Ritz";#N/A,#N/A,FALSE,"Stag";#N/A,#N/A,FALSE,"Cider Others"}</definedName>
    <definedName name="wrn.Cider." hidden="1">{#N/A,#N/A,FALSE,"Cider Segment";#N/A,#N/A,FALSE,"Bulmers";#N/A,#N/A,FALSE,"Ritz";#N/A,#N/A,FALSE,"Stag";#N/A,#N/A,FALSE,"Cider Others"}</definedName>
    <definedName name="wrn.Consolidated._.Set." localSheetId="0" hidden="1">{"Consolidated IS w Ratios",#N/A,FALSE,"Consolidated";"Consolidated CF",#N/A,FALSE,"Consolidated";"Consolidated DCF",#N/A,FALSE,"Consolidated"}</definedName>
    <definedName name="wrn.Consolidated._.Set." hidden="1">{"Consolidated IS w Ratios",#N/A,FALSE,"Consolidated";"Consolidated CF",#N/A,FALSE,"Consolidated";"Consolidated DCF",#N/A,FALSE,"Consolidated"}</definedName>
    <definedName name="wrn.contribution." localSheetId="0" hidden="1">{#N/A,#N/A,FALSE,"Contribution Analysis"}</definedName>
    <definedName name="wrn.contribution." hidden="1">{#N/A,#N/A,FALSE,"Contribution Analysis"}</definedName>
    <definedName name="wrn.Cover." localSheetId="0"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PB." localSheetId="0" hidden="1">{#N/A,#N/A,FALSE,"CPB"}</definedName>
    <definedName name="wrn.CPB." hidden="1">{#N/A,#N/A,FALSE,"CPB"}</definedName>
    <definedName name="wrn.Credit._.Summary." localSheetId="0" hidden="1">{#N/A,#N/A,FALSE,"Credit Summary"}</definedName>
    <definedName name="wrn.Credit._.Summary." hidden="1">{#N/A,#N/A,FALSE,"Credit Summary"}</definedName>
    <definedName name="wrn.CSC." localSheetId="0" hidden="1">{"page1",#N/A,TRUE,"CSC";"page2",#N/A,TRUE,"CSC"}</definedName>
    <definedName name="wrn.CSC." hidden="1">{"page1",#N/A,TRUE,"CSC";"page2",#N/A,TRUE,"CSC"}</definedName>
    <definedName name="wrn.CSC2" localSheetId="0" hidden="1">{"page1",#N/A,TRUE,"CSC";"page2",#N/A,TRUE,"CSC"}</definedName>
    <definedName name="wrn.CSC2" hidden="1">{"page1",#N/A,TRUE,"CSC";"page2",#N/A,TRUE,"CSC"}</definedName>
    <definedName name="wrn.csc2." localSheetId="0" hidden="1">{#N/A,#N/A,FALSE,"ORIX CSC"}</definedName>
    <definedName name="wrn.csc2." hidden="1">{#N/A,#N/A,FALSE,"ORIX CSC"}</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urope." localSheetId="0"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localSheetId="0" hidden="1">{"Eur Base Top",#N/A,FALSE,"Europe Base";"Eur Base Bottom",#N/A,FALSE,"Europe Base"}</definedName>
    <definedName name="wrn.Europe._.Base." hidden="1">{"Eur Base Top",#N/A,FALSE,"Europe Base";"Eur Base Bottom",#N/A,FALSE,"Europe Base"}</definedName>
    <definedName name="wrn.Europe._.Set." localSheetId="0" hidden="1">{"IS w Ratios",#N/A,FALSE,"Europe";"PF CF Europe",#N/A,FALSE,"Europe";"DCF Eur Matrix",#N/A,FALSE,"Europe"}</definedName>
    <definedName name="wrn.Europe._.Set." hidden="1">{"IS w Ratios",#N/A,FALSE,"Europe";"PF CF Europe",#N/A,FALSE,"Europe";"DCF Eur Matrix",#N/A,FALSE,"Europe"}</definedName>
    <definedName name="wrn.Everything." localSheetId="0"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localSheetId="0" hidden="1">{#N/A,#N/A,FALSE,"Exports";#N/A,#N/A,FALSE,"Carolans";#N/A,#N/A,FALSE,"Irish Mist";#N/A,#N/A,FALSE,"Tullamore Dew";#N/A,#N/A,FALSE,"Other Brands Exports";#N/A,#N/A,FALSE,"Frangelico";#N/A,#N/A,FALSE,"Mondoro";#N/A,#N/A,FALSE,"Aperol";#N/A,#N/A,FALSE,"Others Exports"}</definedName>
    <definedName name="wrn.Exports." hidden="1">{#N/A,#N/A,FALSE,"Exports";#N/A,#N/A,FALSE,"Carolans";#N/A,#N/A,FALSE,"Irish Mist";#N/A,#N/A,FALSE,"Tullamore Dew";#N/A,#N/A,FALSE,"Other Brands Exports";#N/A,#N/A,FALSE,"Frangelico";#N/A,#N/A,FALSE,"Mondoro";#N/A,#N/A,FALSE,"Aperol";#N/A,#N/A,FALSE,"Others Exports"}</definedName>
    <definedName name="wrn.Far._.East._.Set." localSheetId="0" hidden="1">{"IS FE with Ratios",#N/A,FALSE,"Far East";"PF CF Far East",#N/A,FALSE,"Far East";"DCF Far East Matrix",#N/A,FALSE,"Far East"}</definedName>
    <definedName name="wrn.Far._.East._.Set." hidden="1">{"IS FE with Ratios",#N/A,FALSE,"Far East";"PF CF Far East",#N/A,FALSE,"Far East";"DCF Far East Matrix",#N/A,FALSE,"Far East"}</definedName>
    <definedName name="wrn.FCB." localSheetId="0" hidden="1">{"FCB_ALL",#N/A,FALSE,"FCB"}</definedName>
    <definedName name="wrn.FCB." hidden="1">{"FCB_ALL",#N/A,FALSE,"FCB"}</definedName>
    <definedName name="wrn.fcb2" localSheetId="0" hidden="1">{"FCB_ALL",#N/A,FALSE,"FCB"}</definedName>
    <definedName name="wrn.fcb2" hidden="1">{"FCB_ALL",#N/A,FALSE,"FCB"}</definedName>
    <definedName name="wrn.FE._.Sensitivity." localSheetId="0" hidden="1">{"Far East Top",#N/A,FALSE,"FE Model";"Far East Mid",#N/A,FALSE,"FE Model";"Far East Base",#N/A,FALSE,"FE Model"}</definedName>
    <definedName name="wrn.FE._.Sensitivity." hidden="1">{"Far East Top",#N/A,FALSE,"FE Model";"Far East Mid",#N/A,FALSE,"FE Model";"Far East Base",#N/A,FALSE,"FE Model"}</definedName>
    <definedName name="wrn.for._.TenneT." localSheetId="0"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localSheetId="0" hidden="1">{#N/A,#N/A,FALSE,"GIS"}</definedName>
    <definedName name="wrn.GIS." hidden="1">{#N/A,#N/A,FALSE,"GIS"}</definedName>
    <definedName name="wrn.Historical._.Cost._.PWC." localSheetId="0"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0"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localSheetId="0" hidden="1">{#N/A,#N/A,FALSE,"HNZ"}</definedName>
    <definedName name="wrn.HNZ." hidden="1">{#N/A,#N/A,FALSE,"HNZ"}</definedName>
    <definedName name="wrn.Introduction." localSheetId="0"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localSheetId="0" hidden="1">{#N/A,#N/A,FALSE,"Italy";#N/A,#N/A,FALSE,"Aperol Italy";#N/A,#N/A,FALSE,"Aperol Soda Italy";#N/A,#N/A,FALSE,"Spumanti";#N/A,#N/A,FALSE,"Barbieri Liqueur Italy";#N/A,#N/A,FALSE,"Others Italy"}</definedName>
    <definedName name="wrn.Italy." hidden="1">{#N/A,#N/A,FALSE,"Italy";#N/A,#N/A,FALSE,"Aperol Italy";#N/A,#N/A,FALSE,"Aperol Soda Italy";#N/A,#N/A,FALSE,"Spumanti";#N/A,#N/A,FALSE,"Barbieri Liqueur Italy";#N/A,#N/A,FALSE,"Others Italy"}</definedName>
    <definedName name="wrn.JG._.FE._.Dollar." localSheetId="0" hidden="1">{"JG FE Top",#N/A,FALSE,"JG FE $";"JG FE Bottom",#N/A,FALSE,"JG FE $"}</definedName>
    <definedName name="wrn.JG._.FE._.Dollar." hidden="1">{"JG FE Top",#N/A,FALSE,"JG FE $";"JG FE Bottom",#N/A,FALSE,"JG FE $"}</definedName>
    <definedName name="wrn.JG._.FE._.Yen." localSheetId="0" hidden="1">{"JG FE Top",#N/A,FALSE,"JG FE ¥";"JG FE Bottom",#N/A,FALSE,"JG FE ¥"}</definedName>
    <definedName name="wrn.JG._.FE._.Yen." hidden="1">{"JG FE Top",#N/A,FALSE,"JG FE ¥";"JG FE Bottom",#N/A,FALSE,"JG FE ¥"}</definedName>
    <definedName name="wrn.K." localSheetId="0" hidden="1">{#N/A,#N/A,FALSE,"K"}</definedName>
    <definedName name="wrn.K." hidden="1">{#N/A,#N/A,FALSE,"K"}</definedName>
    <definedName name="wrn.lbo." localSheetId="0" hidden="1">{"a",#N/A,FALSE,"LBO - 100%, No Sales";"aa",#N/A,FALSE,"LBO - 100%, No Sales";"aaa",#N/A,FALSE,"LBO - 100%, No Sales";"aaaa",#N/A,FALSE,"LBO - 100%, No Sales";"aaaaa",#N/A,FALSE,"LBO - 100%, No Sales";"aaaaaa",#N/A,FALSE,"LBO - 100%, No Sales";"aaaaaaa",#N/A,FALSE,"LBO - 100%, No Sales";"aaaaaaaa",#N/A,FALSE,"LBO - 100%, No Sales"}</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localSheetId="0"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localSheetId="0" hidden="1">{"a",#N/A,FALSE,"LBO - 100%, Sell C,CT 98......";"aa",#N/A,FALSE,"LBO - 100%, Sell C,CT 98......";"aaa",#N/A,FALSE,"LBO - 100%, Sell C,CT 98......";"aaaa",#N/A,FALSE,"LBO - 100%, Sell C,CT 98......";"aaaaa",#N/A,FALSE,"LBO - 100%, Sell C,CT 98......";"aaaaaa",#N/A,FALSE,"LBO - 100%, Sell C,CT 98......"}</definedName>
    <definedName name="wrn.lbo3." hidden="1">{"a",#N/A,FALSE,"LBO - 100%, Sell C,CT 98......";"aa",#N/A,FALSE,"LBO - 100%, Sell C,CT 98......";"aaa",#N/A,FALSE,"LBO - 100%, Sell C,CT 98......";"aaaa",#N/A,FALSE,"LBO - 100%, Sell C,CT 98......";"aaaaa",#N/A,FALSE,"LBO - 100%, Sell C,CT 98......";"aaaaaa",#N/A,FALSE,"LBO - 100%, Sell C,CT 98......"}</definedName>
    <definedName name="wrn.May._.21." localSheetId="0"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localSheetId="0" hidden="1">{#N/A,#N/A,FALSE,"MCCRK"}</definedName>
    <definedName name="wrn.MCCRK." hidden="1">{#N/A,#N/A,FALSE,"MCCRK"}</definedName>
    <definedName name="wrn.MERGER._.PLANS." localSheetId="0" hidden="1">{"Assumptions1",#N/A,FALSE,"Assumptions";"MergerPlans1","20yearamort",FALSE,"MergerPlans";"MergerPlans1","40yearamort",FALSE,"MergerPlans";"MergerPlans2",#N/A,FALSE,"MergerPlans";"inputs",#N/A,FALSE,"MergerPlans"}</definedName>
    <definedName name="wrn.MERGER._.PLANS." hidden="1">{"Assumptions1",#N/A,FALSE,"Assumptions";"MergerPlans1","20yearamort",FALSE,"MergerPlans";"MergerPlans1","40yearamort",FALSE,"MergerPlans";"MergerPlans2",#N/A,FALSE,"MergerPlans";"inputs",#N/A,FALSE,"MergerPlans"}</definedName>
    <definedName name="wrn.NA." localSheetId="0" hidden="1">{#N/A,#N/A,FALSE,"NA"}</definedName>
    <definedName name="wrn.NA." hidden="1">{#N/A,#N/A,FALSE,"NA"}</definedName>
    <definedName name="wrn.NA._.Model._.T._.and._.B." localSheetId="0" hidden="1">{"NA Top",#N/A,FALSE,"NA Model";"NA Bottom",#N/A,FALSE,"NA Model"}</definedName>
    <definedName name="wrn.NA._.Model._.T._.and._.B." hidden="1">{"NA Top",#N/A,FALSE,"NA Model";"NA Bottom",#N/A,FALSE,"NA Model"}</definedName>
    <definedName name="wrn.NA_ULV._.Tand._.B." localSheetId="0" hidden="1">{"NA Top",#N/A,FALSE,"NA-ULV";"NA Bottom",#N/A,FALSE,"NA-ULV"}</definedName>
    <definedName name="wrn.NA_ULV._.Tand._.B." hidden="1">{"NA Top",#N/A,FALSE,"NA-ULV";"NA Bottom",#N/A,FALSE,"NA-ULV"}</definedName>
    <definedName name="wrn.North._.America._.Set." localSheetId="0" hidden="1">{"NA Is w Ratios",#N/A,FALSE,"North America";"PF CFlow NA",#N/A,FALSE,"North America";"NA DCF Matrix",#N/A,FALSE,"North America"}</definedName>
    <definedName name="wrn.North._.America._.Set." hidden="1">{"NA Is w Ratios",#N/A,FALSE,"North America";"PF CFlow NA",#N/A,FALSE,"North America";"NA DCF Matrix",#N/A,FALSE,"North America"}</definedName>
    <definedName name="wrn.Output." localSheetId="0"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localSheetId="0" hidden="1">{#N/A,#N/A,FALSE,"FCF Corporate Services";#N/A,#N/A,FALSE,"FCF Assum Corporate Services";#N/A,#N/A,FALSE,"DCF Corp. Services Sensitivity";#N/A,#N/A,FALSE,"AVP Corporate Services";"FCF in percent",#N/A,FALSE,"FCF Corporate Services"}</definedName>
    <definedName name="wrn.print." hidden="1">{#N/A,#N/A,FALSE,"FCF Corporate Services";#N/A,#N/A,FALSE,"FCF Assum Corporate Services";#N/A,#N/A,FALSE,"DCF Corp. Services Sensitivity";#N/A,#N/A,FALSE,"AVP Corporate Services";"FCF in percent",#N/A,FALSE,"FCF Corporate Services"}</definedName>
    <definedName name="wrn.Print._.Europe._.TandB." localSheetId="0" hidden="1">{"Print Top",#N/A,FALSE,"Europe Model";"Print Bottom",#N/A,FALSE,"Europe Model"}</definedName>
    <definedName name="wrn.Print._.Europe._.TandB." hidden="1">{"Print Top",#N/A,FALSE,"Europe Model";"Print Bottom",#N/A,FALSE,"Europe Model"}</definedName>
    <definedName name="wrn.Print._.FE._.T._.and._.B." localSheetId="0" hidden="1">{"Far East Top",#N/A,FALSE,"FE Model";"Far East Bottom",#N/A,FALSE,"FE Model"}</definedName>
    <definedName name="wrn.Print._.FE._.T._.and._.B." hidden="1">{"Far East Top",#N/A,FALSE,"FE Model";"Far East Bottom",#N/A,FALSE,"FE Model"}</definedName>
    <definedName name="wrn.print._.graphs." localSheetId="0"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0" hidden="1">{"inputs raw data",#N/A,TRUE,"INPUT"}</definedName>
    <definedName name="wrn.print._.raw._.data._.entry." hidden="1">{"inputs raw data",#N/A,TRUE,"INPUT"}</definedName>
    <definedName name="wrn.print._.standalone." localSheetId="0" hidden="1">{"standalone1",#N/A,FALSE,"DCFBase";"standalone2",#N/A,FALSE,"DCFBase"}</definedName>
    <definedName name="wrn.print._.standalone." hidden="1">{"standalone1",#N/A,FALSE,"DCFBase";"standalone2",#N/A,FALSE,"DCFBase"}</definedName>
    <definedName name="wrn.print._.summary._.sheets." localSheetId="0" hidden="1">{"summary1",#N/A,TRUE,"Comps";"summary2",#N/A,TRUE,"Comps";"summary3",#N/A,TRUE,"Comps"}</definedName>
    <definedName name="wrn.print._.summary._.sheets." hidden="1">{"summary1",#N/A,TRUE,"Comps";"summary2",#N/A,TRUE,"Comps";"summary3",#N/A,TRUE,"Comps"}</definedName>
    <definedName name="wrn.print._.summary._.sheets.2" localSheetId="0" hidden="1">{"summary1",#N/A,TRUE,"Comps";"summary2",#N/A,TRUE,"Comps";"summary3",#N/A,TRUE,"Comps"}</definedName>
    <definedName name="wrn.print._.summary._.sheets.2" hidden="1">{"summary1",#N/A,TRUE,"Comps";"summary2",#N/A,TRUE,"Comps";"summary3",#N/A,TRUE,"Comps"}</definedName>
    <definedName name="wrn.Print_Buyer." localSheetId="0"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CSC." localSheetId="0" hidden="1">{"CSC_1",#N/A,FALSE,"CSC Outputs";"CSC_2",#N/A,FALSE,"CSC Outputs"}</definedName>
    <definedName name="wrn.Print_CSC." hidden="1">{"CSC_1",#N/A,FALSE,"CSC Outputs";"CSC_2",#N/A,FALSE,"CSC Outputs"}</definedName>
    <definedName name="wrn.Print_CSC2" localSheetId="0" hidden="1">{"CSC_1",#N/A,FALSE,"CSC Outputs";"CSC_2",#N/A,FALSE,"CSC Outputs"}</definedName>
    <definedName name="wrn.Print_CSC2" hidden="1">{"CSC_1",#N/A,FALSE,"CSC Outputs";"CSC_2",#N/A,FALSE,"CSC Outputs"}</definedName>
    <definedName name="wrn.Print_Target." localSheetId="0"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localSheetId="0" hidden="1">{"projections1",#N/A,FALSE,"projections";"dcf2",#N/A,FALSE,"dcf";"dcf no profit sharing",#N/A,FALSE,"dcf no profit sharing";"avp1",#N/A,FALSE,"avp"}</definedName>
    <definedName name="wrn.printall." hidden="1">{"projections1",#N/A,FALSE,"projections";"dcf2",#N/A,FALSE,"dcf";"dcf no profit sharing",#N/A,FALSE,"dcf no profit sharing";"avp1",#N/A,FALSE,"avp"}</definedName>
    <definedName name="wrn.Replacement._.Cost." localSheetId="0"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SKSCS1." localSheetId="0" hidden="1">{#N/A,#N/A,FALSE,"Antony Financials";#N/A,#N/A,FALSE,"Cowboy Financials";#N/A,#N/A,FALSE,"Combined";#N/A,#N/A,FALSE,"Valuematrix";#N/A,#N/A,FALSE,"DCFAntony";#N/A,#N/A,FALSE,"DCFCowboy";#N/A,#N/A,FALSE,"DCFCombined"}</definedName>
    <definedName name="wrn.SKSCS1." hidden="1">{#N/A,#N/A,FALSE,"Antony Financials";#N/A,#N/A,FALSE,"Cowboy Financials";#N/A,#N/A,FALSE,"Combined";#N/A,#N/A,FALSE,"Valuematrix";#N/A,#N/A,FALSE,"DCFAntony";#N/A,#N/A,FALSE,"DCFCowboy";#N/A,#N/A,FALSE,"DCFCombined"}</definedName>
    <definedName name="wrn.Soft._.Drinks." localSheetId="0" hidden="1">{#N/A,#N/A,FALSE,"Soft Drinks";#N/A,#N/A,FALSE,"Club Soft";#N/A,#N/A,FALSE,"Club Mixers";#N/A,#N/A,FALSE,"TK";#N/A,#N/A,FALSE,"Cidona";#N/A,#N/A,FALSE,"Britvic";#N/A,#N/A,FALSE,"Mi Wadi";#N/A,#N/A,FALSE,"Pepsi";#N/A,#N/A,FALSE,"7UP";#N/A,#N/A,FALSE,"Schweppes";#N/A,#N/A,FALSE,"Wholesale";#N/A,#N/A,FALSE,"Other Soft Drinks"}</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localSheetId="0" hidden="1">{"FCB_ALL",#N/A,FALSE,"FCB";"GREY_ALL",#N/A,FALSE,"GREY"}</definedName>
    <definedName name="wrn.STAND_ALONE_BOTH." hidden="1">{"FCB_ALL",#N/A,FALSE,"FCB";"GREY_ALL",#N/A,FALSE,"GREY"}</definedName>
    <definedName name="wrn.Standard." localSheetId="0" hidden="1">{"Financials",#N/A,FALSE,"Financials";"AVP",#N/A,FALSE,"AVP";"DCF",#N/A,FALSE,"DCF";"CSC",#N/A,FALSE,"CSC";"Deal_Comp",#N/A,FALSE,"DealComp"}</definedName>
    <definedName name="wrn.Standard." hidden="1">{"Financials",#N/A,FALSE,"Financials";"AVP",#N/A,FALSE,"AVP";"DCF",#N/A,FALSE,"DCF";"CSC",#N/A,FALSE,"CSC";"Deal_Comp",#N/A,FALSE,"DealComp"}</definedName>
    <definedName name="wrn.SummaryPgs." localSheetId="0" hidden="1">{#N/A,#N/A,FALSE,"CreditStat";#N/A,#N/A,FALSE,"SPbrkup";#N/A,#N/A,FALSE,"MerSPsyn";#N/A,#N/A,FALSE,"MerSPwKCsyn";#N/A,#N/A,FALSE,"MerSPwKCsyn (2)";#N/A,#N/A,FALSE,"CreditStat (2)"}</definedName>
    <definedName name="wrn.SummaryPgs." hidden="1">{#N/A,#N/A,FALSE,"CreditStat";#N/A,#N/A,FALSE,"SPbrkup";#N/A,#N/A,FALSE,"MerSPsyn";#N/A,#N/A,FALSE,"MerSPwKCsyn";#N/A,#N/A,FALSE,"MerSPwKCsyn (2)";#N/A,#N/A,FALSE,"CreditStat (2)"}</definedName>
    <definedName name="wrn.SVERKA." localSheetId="0" hidden="1">{#N/A,#N/A,FALSE,"REC";#N/A,#N/A,FALSE,"ASSETS";#N/A,#N/A,FALSE,"LIABILITIES";#N/A,#N/A,FALSE,"P&amp;L";#N/A,#N/A,FALSE,"FUNDS";#N/A,#N/A,FALSE,"CASH";#N/A,#N/A,FALSE,"1,2";#N/A,#N/A,FALSE,"3";#N/A,#N/A,FALSE,"4";#N/A,#N/A,FALSE,"5,6,7";#N/A,#N/A,FALSE,"8,9"}</definedName>
    <definedName name="wrn.SVERKA." hidden="1">{#N/A,#N/A,FALSE,"REC";#N/A,#N/A,FALSE,"ASSETS";#N/A,#N/A,FALSE,"LIABILITIES";#N/A,#N/A,FALSE,"P&amp;L";#N/A,#N/A,FALSE,"FUNDS";#N/A,#N/A,FALSE,"CASH";#N/A,#N/A,FALSE,"1,2";#N/A,#N/A,FALSE,"3";#N/A,#N/A,FALSE,"4";#N/A,#N/A,FALSE,"5,6,7";#N/A,#N/A,FALSE,"8,9"}</definedName>
    <definedName name="wrn.sverka17" localSheetId="0"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localSheetId="0"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localSheetId="0"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localSheetId="0"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localSheetId="0" hidden="1">{"test2",#N/A,TRUE,"Prices"}</definedName>
    <definedName name="wrn.test." hidden="1">{"test2",#N/A,TRUE,"Prices"}</definedName>
    <definedName name="wrn.Trading._.Summary." localSheetId="0" hidden="1">{#N/A,#N/A,FALSE,"Trading Summary"}</definedName>
    <definedName name="wrn.Trading._.Summary." hidden="1">{#N/A,#N/A,FALSE,"Trading Summary"}</definedName>
    <definedName name="wrn.Tweety." localSheetId="0" hidden="1">{#N/A,#N/A,FALSE,"A&amp;E";#N/A,#N/A,FALSE,"HighTop";#N/A,#N/A,FALSE,"JG";#N/A,#N/A,FALSE,"RI";#N/A,#N/A,FALSE,"woHT";#N/A,#N/A,FALSE,"woHT&amp;JG"}</definedName>
    <definedName name="wrn.Tweety." hidden="1">{#N/A,#N/A,FALSE,"A&amp;E";#N/A,#N/A,FALSE,"HighTop";#N/A,#N/A,FALSE,"JG";#N/A,#N/A,FALSE,"RI";#N/A,#N/A,FALSE,"woHT";#N/A,#N/A,FALSE,"woHT&amp;JG"}</definedName>
    <definedName name="wrn.Upper._.Case." localSheetId="0"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localSheetId="0" hidden="1">{"valderrama1",#N/A,FALSE,"Pro Forma";"valderrama",#N/A,FALSE,"Pro Forma"}</definedName>
    <definedName name="wrn.valderrama." hidden="1">{"valderrama1",#N/A,FALSE,"Pro Forma";"valderrama",#N/A,FALSE,"Pro Forma"}</definedName>
    <definedName name="wrn.Valuation._.Committee." localSheetId="0"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localSheetId="0"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localSheetId="0" hidden="1">{#N/A,#N/A,FALSE,"Water";#N/A,#N/A,FALSE,"Ballygowan";#N/A,#N/A,FALSE,"Volvic"}</definedName>
    <definedName name="wrn.Water." hidden="1">{#N/A,#N/A,FALSE,"Water";#N/A,#N/A,FALSE,"Ballygowan";#N/A,#N/A,FALSE,"Volvic"}</definedName>
    <definedName name="wrn.whole._.document." localSheetId="0" hidden="1">{"page 1",#N/A,FALSE,"A";"page 2",#N/A,FALSE,"A";"page 3",#N/A,FALSE,"A";"page 4",#N/A,FALSE,"A";"page 5",#N/A,FALSE,"A";"page 6",#N/A,FALSE,"A";"page 7",#N/A,FALSE,"A";"page 8",#N/A,FALSE,"A";"page 9",#N/A,FALSE,"A";"page 10",#N/A,FALSE,"A";"page 11",#N/A,FALSE,"A";"page 12",#N/A,FALSE,"A";"page 13",#N/A,FALSE,"A";"page 14",#N/A,FALSE,"A"}</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localSheetId="0" hidden="1">{#N/A,#N/A,FALSE,"W&amp;Spirits";#N/A,#N/A,FALSE,"Grants";#N/A,#N/A,FALSE,"CCB"}</definedName>
    <definedName name="wrn.WineSpirits." hidden="1">{#N/A,#N/A,FALSE,"W&amp;Spirits";#N/A,#N/A,FALSE,"Grants";#N/A,#N/A,FALSE,"CCB"}</definedName>
    <definedName name="wrn.WWY." localSheetId="0" hidden="1">{#N/A,#N/A,FALSE,"WWY"}</definedName>
    <definedName name="wrn.WWY." hidden="1">{#N/A,#N/A,FALSE,"WWY"}</definedName>
    <definedName name="wvu.inputs._.raw._.data."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еку" localSheetId="0" hidden="1">{#N/A,#N/A,FALSE,"REC";#N/A,#N/A,FALSE,"ASSETS";#N/A,#N/A,FALSE,"LIABILITIES";#N/A,#N/A,FALSE,"P&amp;L";#N/A,#N/A,FALSE,"FUNDS";#N/A,#N/A,FALSE,"CASH";#N/A,#N/A,FALSE,"1,2";#N/A,#N/A,FALSE,"3";#N/A,#N/A,FALSE,"4";#N/A,#N/A,FALSE,"5,6,7";#N/A,#N/A,FALSE,"8,9"}</definedName>
    <definedName name="еку" hidden="1">{#N/A,#N/A,FALSE,"REC";#N/A,#N/A,FALSE,"ASSETS";#N/A,#N/A,FALSE,"LIABILITIES";#N/A,#N/A,FALSE,"P&amp;L";#N/A,#N/A,FALSE,"FUNDS";#N/A,#N/A,FALSE,"CASH";#N/A,#N/A,FALSE,"1,2";#N/A,#N/A,FALSE,"3";#N/A,#N/A,FALSE,"4";#N/A,#N/A,FALSE,"5,6,7";#N/A,#N/A,FALSE,"8,9"}</definedName>
    <definedName name="_xlnm.Print_Area" localSheetId="1">ENVIRONMENT!$A$1:$I$118</definedName>
    <definedName name="_xlnm.Print_Area" localSheetId="4">GOVERNANCE!$A$1:$I$91</definedName>
    <definedName name="_xlnm.Print_Area" localSheetId="0">MENU!$A$1:$Q$57</definedName>
    <definedName name="_xlnm.Print_Area" localSheetId="2">SOCIAL!$A$1:$J$85</definedName>
    <definedName name="ор" localSheetId="0" hidden="1">{#N/A,#N/A,FALSE,"REC";#N/A,#N/A,FALSE,"ASSETS";#N/A,#N/A,FALSE,"LIABILITIES";#N/A,#N/A,FALSE,"P&amp;L";#N/A,#N/A,FALSE,"FUNDS";#N/A,#N/A,FALSE,"CASH";#N/A,#N/A,FALSE,"1,2";#N/A,#N/A,FALSE,"3";#N/A,#N/A,FALSE,"4";#N/A,#N/A,FALSE,"5,6,7";#N/A,#N/A,FALSE,"8,9"}</definedName>
    <definedName name="ор" hidden="1">{#N/A,#N/A,FALSE,"REC";#N/A,#N/A,FALSE,"ASSETS";#N/A,#N/A,FALSE,"LIABILITIES";#N/A,#N/A,FALSE,"P&amp;L";#N/A,#N/A,FALSE,"FUNDS";#N/A,#N/A,FALSE,"CASH";#N/A,#N/A,FALSE,"1,2";#N/A,#N/A,FALSE,"3";#N/A,#N/A,FALSE,"4";#N/A,#N/A,FALSE,"5,6,7";#N/A,#N/A,FALSE,"8,9"}</definedName>
    <definedName name="прмтмиато" localSheetId="0" hidden="1">#REF!</definedName>
    <definedName name="прмтмиато" hidden="1">#REF!</definedName>
    <definedName name="рп" localSheetId="0" hidden="1">{#N/A,#N/A,FALSE,"REC";#N/A,#N/A,FALSE,"ASSETS";#N/A,#N/A,FALSE,"LIABILITIES";#N/A,#N/A,FALSE,"P&amp;L";#N/A,#N/A,FALSE,"FUNDS";#N/A,#N/A,FALSE,"CASH";#N/A,#N/A,FALSE,"1,2";#N/A,#N/A,FALSE,"3";#N/A,#N/A,FALSE,"4";#N/A,#N/A,FALSE,"5,6,7";#N/A,#N/A,FALSE,"8,9"}</definedName>
    <definedName name="рп" hidden="1">{#N/A,#N/A,FALSE,"REC";#N/A,#N/A,FALSE,"ASSETS";#N/A,#N/A,FALSE,"LIABILITIES";#N/A,#N/A,FALSE,"P&amp;L";#N/A,#N/A,FALSE,"FUNDS";#N/A,#N/A,FALSE,"CASH";#N/A,#N/A,FALSE,"1,2";#N/A,#N/A,FALSE,"3";#N/A,#N/A,FALSE,"4";#N/A,#N/A,FALSE,"5,6,7";#N/A,#N/A,FALSE,"8,9"}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5" l="1"/>
  <c r="N34" i="5" l="1"/>
  <c r="L34" i="5" l="1"/>
  <c r="M34" i="5"/>
  <c r="N58" i="2" l="1"/>
  <c r="M58" i="2" l="1"/>
  <c r="N58" i="6" l="1"/>
  <c r="N52" i="6"/>
  <c r="N46" i="6"/>
  <c r="N34" i="6"/>
  <c r="N11" i="6"/>
  <c r="N9" i="6"/>
  <c r="N7" i="6"/>
  <c r="N45" i="2"/>
  <c r="N6" i="2"/>
  <c r="N17" i="2" s="1"/>
  <c r="N85" i="5"/>
  <c r="N90" i="5" s="1"/>
  <c r="N86" i="5"/>
  <c r="N87" i="5"/>
  <c r="N88" i="5"/>
  <c r="N89" i="5"/>
  <c r="N77" i="5"/>
  <c r="N27" i="5"/>
  <c r="N31" i="5" s="1"/>
  <c r="N25" i="5"/>
  <c r="N24" i="5"/>
  <c r="N23" i="5"/>
  <c r="N21" i="5" s="1"/>
  <c r="N22" i="5"/>
  <c r="N16" i="5"/>
  <c r="N11" i="5"/>
  <c r="N6" i="5"/>
  <c r="M27" i="5"/>
  <c r="M21" i="5"/>
  <c r="M58" i="6"/>
  <c r="M52" i="6"/>
  <c r="M46" i="6"/>
  <c r="M40" i="6"/>
  <c r="M34" i="6"/>
  <c r="M11" i="6"/>
  <c r="M9" i="6"/>
  <c r="M7" i="6"/>
  <c r="M65" i="2"/>
  <c r="M45" i="2"/>
  <c r="M6" i="2"/>
  <c r="M17" i="2"/>
  <c r="L106" i="5"/>
  <c r="K106" i="5"/>
  <c r="J106" i="5"/>
  <c r="I106" i="5"/>
  <c r="H106" i="5"/>
  <c r="G106" i="5"/>
  <c r="F106" i="5"/>
  <c r="E106" i="5"/>
  <c r="D106" i="5"/>
  <c r="C106" i="5"/>
  <c r="M106" i="5"/>
  <c r="M101" i="5"/>
  <c r="M104" i="5"/>
  <c r="M89" i="5"/>
  <c r="M88" i="5"/>
  <c r="M87" i="5"/>
  <c r="M86" i="5"/>
  <c r="M90" i="5" s="1"/>
  <c r="M85" i="5"/>
  <c r="M78" i="5"/>
  <c r="M40" i="5"/>
  <c r="M31" i="5"/>
  <c r="I21" i="5"/>
  <c r="L16" i="5"/>
  <c r="K16" i="5"/>
  <c r="H16" i="5"/>
  <c r="G16" i="5"/>
  <c r="F16" i="5"/>
  <c r="E16" i="5"/>
  <c r="E21" i="5" s="1"/>
  <c r="D16" i="5"/>
  <c r="C16" i="5"/>
  <c r="L11" i="5"/>
  <c r="K11" i="5"/>
  <c r="K21" i="5" s="1"/>
  <c r="J11" i="5"/>
  <c r="J21" i="5" s="1"/>
  <c r="H11" i="5"/>
  <c r="G11" i="5"/>
  <c r="F11" i="5"/>
  <c r="F21" i="5" s="1"/>
  <c r="E11" i="5"/>
  <c r="D11" i="5"/>
  <c r="C11" i="5"/>
  <c r="C21" i="5" s="1"/>
  <c r="L6" i="5"/>
  <c r="K6" i="5"/>
  <c r="H6" i="5"/>
  <c r="H21" i="5" s="1"/>
  <c r="D21" i="5"/>
  <c r="G21" i="5"/>
  <c r="L21" i="5"/>
  <c r="J32" i="2"/>
  <c r="I32" i="2"/>
  <c r="H32" i="2"/>
  <c r="G32" i="2"/>
  <c r="F32" i="2"/>
  <c r="E32" i="2"/>
  <c r="D32" i="2"/>
  <c r="C32" i="2"/>
  <c r="G103" i="5"/>
  <c r="K92" i="5"/>
  <c r="K100" i="5" s="1"/>
  <c r="J92" i="5"/>
  <c r="J100" i="5"/>
  <c r="J104" i="5" s="1"/>
  <c r="I92" i="5"/>
  <c r="I100" i="5" s="1"/>
  <c r="H92" i="5"/>
  <c r="H100" i="5" s="1"/>
  <c r="G92" i="5"/>
  <c r="G100" i="5"/>
  <c r="G102" i="5" s="1"/>
  <c r="K89" i="5"/>
  <c r="J89" i="5"/>
  <c r="I89" i="5"/>
  <c r="H89" i="5"/>
  <c r="K88" i="5"/>
  <c r="J88" i="5"/>
  <c r="I88" i="5"/>
  <c r="H88" i="5"/>
  <c r="K87" i="5"/>
  <c r="J87" i="5"/>
  <c r="I87" i="5"/>
  <c r="H87" i="5"/>
  <c r="L86" i="5"/>
  <c r="K86" i="5"/>
  <c r="J86" i="5"/>
  <c r="I86" i="5"/>
  <c r="I90" i="5" s="1"/>
  <c r="H86" i="5"/>
  <c r="L85" i="5"/>
  <c r="K85" i="5"/>
  <c r="K90" i="5" s="1"/>
  <c r="J85" i="5"/>
  <c r="J90" i="5" s="1"/>
  <c r="I85" i="5"/>
  <c r="H85" i="5"/>
  <c r="L83" i="5"/>
  <c r="K83" i="5"/>
  <c r="J83" i="5"/>
  <c r="I83" i="5"/>
  <c r="H83" i="5"/>
  <c r="G83" i="5"/>
  <c r="F83" i="5"/>
  <c r="E83" i="5"/>
  <c r="D83" i="5"/>
  <c r="C83" i="5"/>
  <c r="L78" i="5"/>
  <c r="K78" i="5"/>
  <c r="J78" i="5"/>
  <c r="I78" i="5"/>
  <c r="H78" i="5"/>
  <c r="G78" i="5"/>
  <c r="F78" i="5"/>
  <c r="E78" i="5"/>
  <c r="D78" i="5"/>
  <c r="C78" i="5"/>
  <c r="L73" i="5"/>
  <c r="K73" i="5"/>
  <c r="J73" i="5"/>
  <c r="I73" i="5"/>
  <c r="H73" i="5"/>
  <c r="G73" i="5"/>
  <c r="F73" i="5"/>
  <c r="E73" i="5"/>
  <c r="D73" i="5"/>
  <c r="C73" i="5"/>
  <c r="K67" i="5"/>
  <c r="J67" i="5"/>
  <c r="I67" i="5"/>
  <c r="H67" i="5"/>
  <c r="G67" i="5"/>
  <c r="F67" i="5"/>
  <c r="D67" i="5"/>
  <c r="C67" i="5"/>
  <c r="K66" i="5"/>
  <c r="H66" i="5"/>
  <c r="G66" i="5"/>
  <c r="E66" i="5"/>
  <c r="D66" i="5"/>
  <c r="C66" i="5"/>
  <c r="K65" i="5"/>
  <c r="J65" i="5"/>
  <c r="I65" i="5"/>
  <c r="H65" i="5"/>
  <c r="F65" i="5"/>
  <c r="E65" i="5"/>
  <c r="D65" i="5"/>
  <c r="C65" i="5"/>
  <c r="J62" i="5"/>
  <c r="J66" i="5"/>
  <c r="I54" i="5"/>
  <c r="I66" i="5" s="1"/>
  <c r="L40" i="5"/>
  <c r="K40" i="5"/>
  <c r="J40" i="5"/>
  <c r="I40" i="5"/>
  <c r="H40" i="5"/>
  <c r="G40" i="5"/>
  <c r="F40" i="5"/>
  <c r="E40" i="5"/>
  <c r="D40" i="5"/>
  <c r="C40" i="5"/>
  <c r="L31" i="5"/>
  <c r="K27" i="5"/>
  <c r="K31" i="5" s="1"/>
  <c r="J31" i="5"/>
  <c r="I31" i="5"/>
  <c r="L90" i="5"/>
  <c r="H90" i="5"/>
  <c r="J102" i="5"/>
  <c r="L52" i="6"/>
  <c r="L46" i="6"/>
  <c r="L40" i="6"/>
  <c r="L34" i="6"/>
  <c r="L11" i="6"/>
  <c r="L9" i="6"/>
  <c r="L7" i="6"/>
  <c r="L45" i="2"/>
  <c r="L58" i="2"/>
  <c r="L6" i="2"/>
  <c r="L17" i="2" s="1"/>
  <c r="I65" i="2"/>
  <c r="K58" i="2"/>
  <c r="K45" i="2"/>
  <c r="K6" i="2"/>
  <c r="K17" i="2"/>
  <c r="K52" i="6"/>
  <c r="K46" i="6"/>
  <c r="K34" i="6"/>
  <c r="K11" i="6"/>
  <c r="K9" i="6"/>
  <c r="K7" i="6"/>
  <c r="K40" i="6"/>
  <c r="J58" i="2"/>
  <c r="J52" i="2"/>
  <c r="J45" i="2"/>
  <c r="J6" i="2"/>
  <c r="J17" i="2"/>
  <c r="I6" i="2"/>
  <c r="I17" i="2"/>
  <c r="C8" i="2"/>
  <c r="J52" i="6"/>
  <c r="J46" i="6"/>
  <c r="J40" i="6"/>
  <c r="J34" i="6"/>
  <c r="J11" i="6"/>
  <c r="J9" i="6"/>
  <c r="J7" i="6"/>
  <c r="H58" i="2"/>
  <c r="H65" i="2"/>
  <c r="G65" i="2"/>
  <c r="F65" i="2"/>
  <c r="E65" i="2"/>
  <c r="D65" i="2"/>
  <c r="C65" i="2"/>
  <c r="I11" i="6"/>
  <c r="I9" i="6"/>
  <c r="I7" i="6"/>
  <c r="I52" i="6"/>
  <c r="I46" i="6"/>
  <c r="I40" i="6"/>
  <c r="I34" i="6"/>
  <c r="I58" i="2"/>
  <c r="G58" i="2"/>
  <c r="E58" i="2"/>
  <c r="D58" i="2"/>
  <c r="C58" i="2"/>
  <c r="I41" i="2"/>
  <c r="I45" i="2"/>
  <c r="H45" i="2"/>
  <c r="G45" i="2"/>
  <c r="F45" i="2"/>
  <c r="E45" i="2"/>
  <c r="C14" i="6"/>
  <c r="D14" i="6"/>
  <c r="F14" i="6"/>
  <c r="G14" i="6"/>
  <c r="H52" i="6"/>
  <c r="G52" i="6"/>
  <c r="F52" i="6"/>
  <c r="E52" i="6"/>
  <c r="D52" i="6"/>
  <c r="C52" i="6"/>
  <c r="H46" i="6"/>
  <c r="G46" i="6"/>
  <c r="F46" i="6"/>
  <c r="E46" i="6"/>
  <c r="D46" i="6"/>
  <c r="C46" i="6"/>
  <c r="H40" i="6"/>
  <c r="G40" i="6"/>
  <c r="F40" i="6"/>
  <c r="E40" i="6"/>
  <c r="D40" i="6"/>
  <c r="C40" i="6"/>
  <c r="H34" i="6"/>
  <c r="G34" i="6"/>
  <c r="F34" i="6"/>
  <c r="E34" i="6"/>
  <c r="D34" i="6"/>
  <c r="C34" i="6"/>
  <c r="G5" i="6"/>
  <c r="G9" i="6" s="1"/>
  <c r="F5" i="6"/>
  <c r="F11" i="6" s="1"/>
  <c r="E5" i="6"/>
  <c r="E9" i="6" s="1"/>
  <c r="D5" i="6"/>
  <c r="D9" i="6" s="1"/>
  <c r="C5" i="6"/>
  <c r="C7" i="6" s="1"/>
  <c r="H11" i="6"/>
  <c r="H7" i="6"/>
  <c r="H9" i="6"/>
  <c r="H11" i="2"/>
  <c r="H9" i="2"/>
  <c r="C11" i="2"/>
  <c r="C45" i="2"/>
  <c r="D45" i="2"/>
  <c r="G16" i="2"/>
  <c r="C11" i="6"/>
  <c r="D11" i="6"/>
  <c r="G11" i="6"/>
  <c r="F7" i="6"/>
  <c r="C9" i="6"/>
  <c r="D7" i="6" l="1"/>
  <c r="G7" i="6"/>
  <c r="E11" i="6"/>
  <c r="F9" i="6"/>
  <c r="E7" i="6"/>
  <c r="H104" i="5"/>
  <c r="H102" i="5"/>
  <c r="I102" i="5"/>
  <c r="I104" i="5"/>
  <c r="K104" i="5"/>
  <c r="K102" i="5"/>
  <c r="G104" i="5"/>
</calcChain>
</file>

<file path=xl/sharedStrings.xml><?xml version="1.0" encoding="utf-8"?>
<sst xmlns="http://schemas.openxmlformats.org/spreadsheetml/2006/main" count="831" uniqueCount="288">
  <si>
    <t>%</t>
  </si>
  <si>
    <t>н/д</t>
  </si>
  <si>
    <t>-</t>
  </si>
  <si>
    <t>AIR</t>
  </si>
  <si>
    <t>WATER</t>
  </si>
  <si>
    <t>kt</t>
  </si>
  <si>
    <t>mln t</t>
  </si>
  <si>
    <t>RUB / USD</t>
  </si>
  <si>
    <t>USD mln</t>
  </si>
  <si>
    <t>Unit</t>
  </si>
  <si>
    <t>Average rate for the year ended 31 December</t>
  </si>
  <si>
    <t>yes / no</t>
  </si>
  <si>
    <t>‘000 people</t>
  </si>
  <si>
    <t xml:space="preserve">     independent directors</t>
  </si>
  <si>
    <t xml:space="preserve">    non-executive directors</t>
  </si>
  <si>
    <t>Years served on the Board of Directors</t>
  </si>
  <si>
    <t>&gt; 60 years old</t>
  </si>
  <si>
    <t>40-60 years old</t>
  </si>
  <si>
    <t>&lt; 40 years old</t>
  </si>
  <si>
    <t>Industry experience</t>
  </si>
  <si>
    <t>Budget Committee</t>
  </si>
  <si>
    <t>Strategy Committee</t>
  </si>
  <si>
    <t>Corporate Governance, Nomination and Remuneration Committee</t>
  </si>
  <si>
    <t>Share of independent directors</t>
  </si>
  <si>
    <t xml:space="preserve">   share of non-executive directors</t>
  </si>
  <si>
    <t xml:space="preserve">    in-person meeting</t>
  </si>
  <si>
    <t>Age of Directors</t>
  </si>
  <si>
    <t>Total Directors, including:</t>
  </si>
  <si>
    <t xml:space="preserve">    share of independent directors</t>
  </si>
  <si>
    <t xml:space="preserve">   share of executive directors</t>
  </si>
  <si>
    <t>Chairman of Committee - independent director</t>
  </si>
  <si>
    <t>Notes:</t>
  </si>
  <si>
    <t>Female</t>
  </si>
  <si>
    <t>Male</t>
  </si>
  <si>
    <t xml:space="preserve">    Russia</t>
  </si>
  <si>
    <t xml:space="preserve">Share of reused and recycled water </t>
  </si>
  <si>
    <t xml:space="preserve">WASTE </t>
  </si>
  <si>
    <t>Charter</t>
  </si>
  <si>
    <t>Regulations on General Meeting of Shareholders</t>
  </si>
  <si>
    <t>Regulations on the Board of Directors</t>
  </si>
  <si>
    <t>Code of Conduct and Ethics for Members of Board of Directors</t>
  </si>
  <si>
    <t>Regulations on the Management Board</t>
  </si>
  <si>
    <t>Regulations on the Audit Commission</t>
  </si>
  <si>
    <t>Professional Development Policy for Members of Board of Directors</t>
  </si>
  <si>
    <t>Performance Evaluation Policy for Board of Directors</t>
  </si>
  <si>
    <t>Regulations on Dividend Policy</t>
  </si>
  <si>
    <t>Anti-Corruption Policy</t>
  </si>
  <si>
    <t>Occupational Health and Safety Policy</t>
  </si>
  <si>
    <t>Freedom of Association Policy</t>
  </si>
  <si>
    <t>Human Rights Policy</t>
  </si>
  <si>
    <t>Working Conditions Policy</t>
  </si>
  <si>
    <t xml:space="preserve">    Europe</t>
  </si>
  <si>
    <t xml:space="preserve">    Africa</t>
  </si>
  <si>
    <t xml:space="preserve">    North America</t>
  </si>
  <si>
    <t xml:space="preserve">    Australia</t>
  </si>
  <si>
    <t xml:space="preserve">    Asia</t>
  </si>
  <si>
    <t>Murmansk Region</t>
  </si>
  <si>
    <t>Moscow and other regions of Russia</t>
  </si>
  <si>
    <t>Personnel training</t>
  </si>
  <si>
    <t>Average salary</t>
  </si>
  <si>
    <t>Social partnership</t>
  </si>
  <si>
    <t>HEALTH AND SAFETY</t>
  </si>
  <si>
    <t>ENVIRONMENTAL EXPENSES</t>
  </si>
  <si>
    <t>Equal Opportunities Programme</t>
  </si>
  <si>
    <t xml:space="preserve"> '000 RUB </t>
  </si>
  <si>
    <t>n/a</t>
  </si>
  <si>
    <t>no</t>
  </si>
  <si>
    <t>yes</t>
  </si>
  <si>
    <t>Krasnoyarsk Region</t>
  </si>
  <si>
    <t>Average monthly salary</t>
  </si>
  <si>
    <t>Employees represented in social-labor councils</t>
  </si>
  <si>
    <t>Employees trained</t>
  </si>
  <si>
    <t>times</t>
  </si>
  <si>
    <t>Meetings of the Board of Directors, including:</t>
  </si>
  <si>
    <t>Meetings of the Committee</t>
  </si>
  <si>
    <t>Meetings of the Management Board</t>
  </si>
  <si>
    <t>Members</t>
  </si>
  <si>
    <t>Females</t>
  </si>
  <si>
    <t>Share of non-audit services</t>
  </si>
  <si>
    <t>FEE OF EXTERNAL AUDITOR</t>
  </si>
  <si>
    <t>Antitraust Compliance Policy</t>
  </si>
  <si>
    <t>ESG DATA BOOK OF NORILSK NICKEL GROUP</t>
  </si>
  <si>
    <t>Investor Relations Department</t>
  </si>
  <si>
    <t>Phone: +7 495 786 83 20</t>
  </si>
  <si>
    <t>ENVIRONMENT</t>
  </si>
  <si>
    <t>SOCIAL</t>
  </si>
  <si>
    <t>GOVERNANCE</t>
  </si>
  <si>
    <t>Indigenous Rights Policy</t>
  </si>
  <si>
    <t>Environmental Impact Assessment Policy</t>
  </si>
  <si>
    <t>Renewable Energy Sources Policy</t>
  </si>
  <si>
    <t>TJ</t>
  </si>
  <si>
    <t>Chita region</t>
  </si>
  <si>
    <t>Companies</t>
  </si>
  <si>
    <t xml:space="preserve"> Standards</t>
  </si>
  <si>
    <t>CERTIFICATES</t>
  </si>
  <si>
    <t>Environmental Indicators</t>
  </si>
  <si>
    <t xml:space="preserve"> Social Indicators</t>
  </si>
  <si>
    <t>natural gas</t>
  </si>
  <si>
    <t>coal</t>
  </si>
  <si>
    <t>diesel and fuel oils</t>
  </si>
  <si>
    <t>gasoline and aviation fuel</t>
  </si>
  <si>
    <t>Norilsk Region</t>
  </si>
  <si>
    <t>&lt; 3 years</t>
  </si>
  <si>
    <t>3-5 years</t>
  </si>
  <si>
    <t>&gt; 5 years</t>
  </si>
  <si>
    <t>Strategy</t>
  </si>
  <si>
    <t>Law and corporate governance</t>
  </si>
  <si>
    <t>Finance and audit</t>
  </si>
  <si>
    <t>Mining and engineering</t>
  </si>
  <si>
    <t>International economic relations</t>
  </si>
  <si>
    <t>Employees covered by collective bargaining agreement</t>
  </si>
  <si>
    <t>Environmental damage compensation and emission fee</t>
  </si>
  <si>
    <t xml:space="preserve">  Metals and mining</t>
  </si>
  <si>
    <t xml:space="preserve">  Construction and repair</t>
  </si>
  <si>
    <t xml:space="preserve">  Transport </t>
  </si>
  <si>
    <t xml:space="preserve">  Research and development</t>
  </si>
  <si>
    <t xml:space="preserve">  Others</t>
  </si>
  <si>
    <t xml:space="preserve">  Energy and utilities</t>
  </si>
  <si>
    <t xml:space="preserve">    Scope 2</t>
  </si>
  <si>
    <t xml:space="preserve">  Other divisions and subsidiaries</t>
  </si>
  <si>
    <t xml:space="preserve">EXCHANGE RATES USED FOR CALCULATION </t>
  </si>
  <si>
    <t xml:space="preserve">  1. Fuels consumption</t>
  </si>
  <si>
    <t xml:space="preserve">  2. Energy from own renewable fuels (HPP)</t>
  </si>
  <si>
    <t xml:space="preserve">  4. Energy sold to 3rd parties</t>
  </si>
  <si>
    <t xml:space="preserve">  3. Energy bought from 3rd parties</t>
  </si>
  <si>
    <t>The share of renewable sources in total electricity &amp; fuels consumption</t>
  </si>
  <si>
    <t>Electricity (includng sold to 3rd parties)</t>
  </si>
  <si>
    <t>The share of renewable sources in electricity consumption</t>
  </si>
  <si>
    <t xml:space="preserve">PRODUCTION AND CONSUMPTION OF ELECTRICITY AND FUELS </t>
  </si>
  <si>
    <t xml:space="preserve">per million hours worked </t>
  </si>
  <si>
    <t>ISO/IEC 27001:2013</t>
  </si>
  <si>
    <t>Other divisions and subsidiaries</t>
  </si>
  <si>
    <t xml:space="preserve">  nitrogen oxide (NОx)</t>
  </si>
  <si>
    <t xml:space="preserve">  solids</t>
  </si>
  <si>
    <t xml:space="preserve">  other</t>
  </si>
  <si>
    <t xml:space="preserve">    Scope 1</t>
  </si>
  <si>
    <t>Water consumption, including:</t>
  </si>
  <si>
    <t>Water withdrawal, including:</t>
  </si>
  <si>
    <t>Wastewater discharge, including:</t>
  </si>
  <si>
    <t xml:space="preserve">   wastewater discharge</t>
  </si>
  <si>
    <t xml:space="preserve"> Other divisions and subsidiaries</t>
  </si>
  <si>
    <t xml:space="preserve">purified to standard quality and water clean </t>
  </si>
  <si>
    <t xml:space="preserve">   pollutans discharged as part of the wastewater</t>
  </si>
  <si>
    <t>Waste generation, incluging:</t>
  </si>
  <si>
    <t>Waste utilization at own facilities, including:</t>
  </si>
  <si>
    <t>Waste storage at own waste disposal sites,  including:</t>
  </si>
  <si>
    <t xml:space="preserve"> 1 hazard class </t>
  </si>
  <si>
    <t xml:space="preserve"> 2 hazard class </t>
  </si>
  <si>
    <t xml:space="preserve"> 3 hazard class </t>
  </si>
  <si>
    <t xml:space="preserve"> 4 hazard class </t>
  </si>
  <si>
    <t xml:space="preserve"> 5 hazard class </t>
  </si>
  <si>
    <t>Expenses for improving working conditions and safety</t>
  </si>
  <si>
    <t>mln USD</t>
  </si>
  <si>
    <t xml:space="preserve">BOAD OF DIRECTORS </t>
  </si>
  <si>
    <t>Information Policy</t>
  </si>
  <si>
    <t>Social expenses for employees, including:</t>
  </si>
  <si>
    <t>Air emissions</t>
  </si>
  <si>
    <t>operations</t>
  </si>
  <si>
    <t>local communities (social infrastructure and households)</t>
  </si>
  <si>
    <t>Group Scope 3 downstream emissions</t>
  </si>
  <si>
    <t>Total Group</t>
  </si>
  <si>
    <t>number of people</t>
  </si>
  <si>
    <t>Average annual employee turnover</t>
  </si>
  <si>
    <t>Voluntary turnover (as % of  the average headcount)</t>
  </si>
  <si>
    <t>Employees - members of trade unions</t>
  </si>
  <si>
    <t>Total social expenses (incl charity)</t>
  </si>
  <si>
    <t>Group health and safety performance</t>
  </si>
  <si>
    <t># of people</t>
  </si>
  <si>
    <t>Total Directors, of which:</t>
  </si>
  <si>
    <t>Managers, including:</t>
  </si>
  <si>
    <t>White-collar employees, including:</t>
  </si>
  <si>
    <t xml:space="preserve">  female </t>
  </si>
  <si>
    <t>Blue-collar employees, including:</t>
  </si>
  <si>
    <t xml:space="preserve">  Pension plans</t>
  </si>
  <si>
    <t xml:space="preserve">  Housing programmes</t>
  </si>
  <si>
    <t xml:space="preserve">  Other social expenses </t>
  </si>
  <si>
    <t>Higher education</t>
  </si>
  <si>
    <t>Basic vocational education</t>
  </si>
  <si>
    <t>General education</t>
  </si>
  <si>
    <t>Others</t>
  </si>
  <si>
    <t xml:space="preserve">   temporary disability</t>
  </si>
  <si>
    <t xml:space="preserve">   fatal</t>
  </si>
  <si>
    <t>Sustainable development</t>
  </si>
  <si>
    <t xml:space="preserve">   independent directors</t>
  </si>
  <si>
    <t xml:space="preserve">Industrial аccident among the contractors, including: </t>
  </si>
  <si>
    <t>USD</t>
  </si>
  <si>
    <t>Content</t>
  </si>
  <si>
    <t>Contacts</t>
  </si>
  <si>
    <t>Useful links</t>
  </si>
  <si>
    <t>Environmental and Climate Change Strategy</t>
  </si>
  <si>
    <t>Annual Report</t>
  </si>
  <si>
    <t>Sustainability Report</t>
  </si>
  <si>
    <t>Certificates</t>
  </si>
  <si>
    <t>Norilsk Division</t>
  </si>
  <si>
    <t>Kola Division</t>
  </si>
  <si>
    <t>Murmansk Transport Division
Nadezhdensky Metallurgical Plant
Copper Plant
Talnakh Consentration</t>
  </si>
  <si>
    <t>Environmental Policy</t>
  </si>
  <si>
    <t>Quality Policy</t>
  </si>
  <si>
    <t>PJSC MMC NORILSK NICKEL’s Position Statement on Biodiversity</t>
  </si>
  <si>
    <t>Climate Change Policy</t>
  </si>
  <si>
    <t>Tailings Management Policy</t>
  </si>
  <si>
    <t>Position Statement on Water Stewardship</t>
  </si>
  <si>
    <t>Responsible Sourcing Policy</t>
  </si>
  <si>
    <t>Supplier Code of Conduct</t>
  </si>
  <si>
    <t>Strategy Presentation</t>
  </si>
  <si>
    <t>Corporate Codes and Policies</t>
  </si>
  <si>
    <t>CORPORATE CODES AND POLICIES</t>
  </si>
  <si>
    <t>ESG Highlights</t>
  </si>
  <si>
    <t>Performance Against the UN SDG</t>
  </si>
  <si>
    <t xml:space="preserve">Total Group </t>
  </si>
  <si>
    <t>Group Scope 1&amp;2 GHG emissions</t>
  </si>
  <si>
    <t xml:space="preserve">  Kola Division</t>
  </si>
  <si>
    <t xml:space="preserve">  Norilsk Division</t>
  </si>
  <si>
    <t xml:space="preserve"> Kola Division</t>
  </si>
  <si>
    <t xml:space="preserve">Waste generation by hazard class </t>
  </si>
  <si>
    <t>Policy Regarding Support for Small and Medium Enterprises</t>
  </si>
  <si>
    <t>Community Engagement Policy</t>
  </si>
  <si>
    <t>Stakeholder Engagement Policy</t>
  </si>
  <si>
    <t>Audit Committee</t>
  </si>
  <si>
    <t xml:space="preserve">Business Ethics Code </t>
  </si>
  <si>
    <t xml:space="preserve">Terms of Reference of Audit Committee of Board of Directors </t>
  </si>
  <si>
    <t>Terms of Reference of Corporate Governance, Nomination and Remuneration Committee of Board of Director</t>
  </si>
  <si>
    <t xml:space="preserve">Regulations on the Sustainable Development and Climate Change Committee </t>
  </si>
  <si>
    <t>Remuneration Policy for Members of Board of Directors a</t>
  </si>
  <si>
    <t xml:space="preserve">Policy on Development and Approval of vote recommendations on candidates nominated to Board of Directors </t>
  </si>
  <si>
    <t xml:space="preserve">Regulations on Corporate Secretary </t>
  </si>
  <si>
    <t>Average headcount:</t>
  </si>
  <si>
    <t>The Group's average headcount</t>
  </si>
  <si>
    <t>STAFF AND SOCIAL PROGRAMMES</t>
  </si>
  <si>
    <t>Headcount by operation</t>
  </si>
  <si>
    <t>Gender profile of employees</t>
  </si>
  <si>
    <t>Education level</t>
  </si>
  <si>
    <t>Employees breakdown by position</t>
  </si>
  <si>
    <t>Data period: 2011-2022</t>
  </si>
  <si>
    <t>Nornickel Scenarios for Climate-Related Risk Assessment</t>
  </si>
  <si>
    <t xml:space="preserve">2022 </t>
  </si>
  <si>
    <t xml:space="preserve">ISO 14001:2015
ISO 9001:2015
ISO 45001:2018
</t>
  </si>
  <si>
    <t xml:space="preserve">   Scope 3 Upstream </t>
  </si>
  <si>
    <t xml:space="preserve">   Scope 3 Downstream (processing of sold products and transportation)</t>
  </si>
  <si>
    <t>The share of natural gas in electricity &amp; fuels consumption</t>
  </si>
  <si>
    <t xml:space="preserve">   executive directors</t>
  </si>
  <si>
    <t>Menu</t>
  </si>
  <si>
    <t>Human Rights Report</t>
  </si>
  <si>
    <t>Responsible Supply Chain Report</t>
  </si>
  <si>
    <t xml:space="preserve">kt СО2 </t>
  </si>
  <si>
    <r>
      <t xml:space="preserve">2021 </t>
    </r>
    <r>
      <rPr>
        <b/>
        <vertAlign val="superscript"/>
        <sz val="11"/>
        <color theme="0"/>
        <rFont val="Tahoma"/>
        <family val="2"/>
        <charset val="204"/>
      </rPr>
      <t>1</t>
    </r>
  </si>
  <si>
    <r>
      <t xml:space="preserve">  sulphur dioxide (SO</t>
    </r>
    <r>
      <rPr>
        <i/>
        <vertAlign val="subscript"/>
        <sz val="11"/>
        <color indexed="8"/>
        <rFont val="Tahoma"/>
        <family val="2"/>
        <charset val="204"/>
      </rPr>
      <t>2</t>
    </r>
    <r>
      <rPr>
        <i/>
        <sz val="11"/>
        <color indexed="8"/>
        <rFont val="Tahoma"/>
        <family val="2"/>
        <charset val="204"/>
      </rPr>
      <t>)</t>
    </r>
  </si>
  <si>
    <r>
      <t xml:space="preserve">  sulphur dioxide (SO</t>
    </r>
    <r>
      <rPr>
        <b/>
        <i/>
        <vertAlign val="subscript"/>
        <sz val="11"/>
        <color indexed="8"/>
        <rFont val="Tahoma"/>
        <family val="2"/>
        <charset val="204"/>
      </rPr>
      <t>2</t>
    </r>
    <r>
      <rPr>
        <b/>
        <i/>
        <sz val="11"/>
        <color indexed="8"/>
        <rFont val="Tahoma"/>
        <family val="2"/>
        <charset val="204"/>
      </rPr>
      <t>)</t>
    </r>
  </si>
  <si>
    <r>
      <t>Greenhouse gas emissions (GHG)</t>
    </r>
    <r>
      <rPr>
        <b/>
        <vertAlign val="superscript"/>
        <sz val="11"/>
        <color rgb="FFC00000"/>
        <rFont val="Tahoma"/>
        <family val="2"/>
        <charset val="204"/>
      </rPr>
      <t>2</t>
    </r>
  </si>
  <si>
    <r>
      <t>mln m</t>
    </r>
    <r>
      <rPr>
        <vertAlign val="superscript"/>
        <sz val="11"/>
        <rFont val="Tahoma"/>
        <family val="2"/>
        <charset val="204"/>
      </rPr>
      <t>3</t>
    </r>
  </si>
  <si>
    <r>
      <t xml:space="preserve">Total Group </t>
    </r>
    <r>
      <rPr>
        <b/>
        <vertAlign val="superscript"/>
        <sz val="11"/>
        <color rgb="FFC00000"/>
        <rFont val="Tahoma"/>
        <family val="2"/>
        <charset val="204"/>
      </rPr>
      <t>3,4</t>
    </r>
  </si>
  <si>
    <r>
      <t>mln m</t>
    </r>
    <r>
      <rPr>
        <i/>
        <vertAlign val="superscript"/>
        <sz val="11"/>
        <rFont val="Tahoma"/>
        <family val="2"/>
        <charset val="204"/>
      </rPr>
      <t>3</t>
    </r>
  </si>
  <si>
    <r>
      <t xml:space="preserve">13 939 </t>
    </r>
    <r>
      <rPr>
        <b/>
        <i/>
        <vertAlign val="superscript"/>
        <sz val="11"/>
        <color rgb="FFC00000"/>
        <rFont val="Tahoma"/>
        <family val="2"/>
        <charset val="204"/>
      </rPr>
      <t>5</t>
    </r>
  </si>
  <si>
    <r>
      <t xml:space="preserve">Electricity &amp; fuels consumption (1+2+3-4), total Group </t>
    </r>
    <r>
      <rPr>
        <b/>
        <vertAlign val="superscript"/>
        <sz val="11"/>
        <color rgb="FFC00000"/>
        <rFont val="Tahoma"/>
        <family val="2"/>
        <charset val="204"/>
      </rPr>
      <t>6</t>
    </r>
  </si>
  <si>
    <r>
      <t xml:space="preserve">Environmental expenses </t>
    </r>
    <r>
      <rPr>
        <b/>
        <vertAlign val="superscript"/>
        <sz val="11"/>
        <color rgb="FFC00000"/>
        <rFont val="Tahoma"/>
        <family val="2"/>
        <charset val="204"/>
      </rPr>
      <t>7</t>
    </r>
  </si>
  <si>
    <r>
      <t xml:space="preserve">MMC Norilsk Nickel:
    </t>
    </r>
    <r>
      <rPr>
        <i/>
        <sz val="11"/>
        <rFont val="Tahoma"/>
        <family val="2"/>
        <charset val="204"/>
      </rPr>
      <t xml:space="preserve">   - Head Office
       - Polar Division
       - Polar Transport Division
       - Murmansk Transport Division</t>
    </r>
    <r>
      <rPr>
        <sz val="11"/>
        <rFont val="Tahoma"/>
        <family val="2"/>
        <charset val="204"/>
      </rPr>
      <t xml:space="preserve">
Kola MMC
Norilsk Nickel Harjavalta</t>
    </r>
  </si>
  <si>
    <r>
      <rPr>
        <b/>
        <i/>
        <vertAlign val="superscript"/>
        <sz val="11"/>
        <color rgb="FFC00000"/>
        <rFont val="Tahoma"/>
        <family val="2"/>
        <charset val="204"/>
      </rPr>
      <t>1</t>
    </r>
    <r>
      <rPr>
        <i/>
        <sz val="11"/>
        <color theme="1"/>
        <rFont val="Tahoma"/>
        <family val="2"/>
        <charset val="204"/>
      </rPr>
      <t xml:space="preserve"> Since 2021, data have been broken down according to the new divisional structure under which the Norilsk Division now includes companies previously accounted for in “Other branches and subsidiaries”, while the Kola Division data include Norilsk Nickel Harjavalta (except for water and waste data). Therefore, historical comparisons are not possible for the 2021 data.</t>
    </r>
  </si>
  <si>
    <r>
      <rPr>
        <b/>
        <i/>
        <vertAlign val="superscript"/>
        <sz val="11"/>
        <color rgb="FFC00000"/>
        <rFont val="Tahoma"/>
        <family val="2"/>
        <charset val="204"/>
      </rPr>
      <t>2</t>
    </r>
    <r>
      <rPr>
        <i/>
        <sz val="11"/>
        <color theme="1"/>
        <rFont val="Tahoma"/>
        <family val="2"/>
        <charset val="204"/>
      </rPr>
      <t xml:space="preserve"> GHG emissions were calculated as per the GHG Protocol Guidelines. When calculating GHG emissions across the Group, the following greenhouse gases were taken into account: carbon oxide (CO2), nitrogen oxide (N2O) and methane (CH4). Direct methane emissions (coming mostly from gas transportation units) represent a small share of total emissions and amount to about 150 ktpa of CO2 equivalent. Based on the inventory results, the data for 2018 and 2019 were recalculated in 2020.</t>
    </r>
  </si>
  <si>
    <r>
      <rPr>
        <b/>
        <i/>
        <vertAlign val="superscript"/>
        <sz val="11"/>
        <color rgb="FFC00000"/>
        <rFont val="Tahoma"/>
        <family val="2"/>
        <charset val="204"/>
      </rPr>
      <t>3</t>
    </r>
    <r>
      <rPr>
        <i/>
        <sz val="11"/>
        <color indexed="63"/>
        <rFont val="Tahoma"/>
        <family val="2"/>
        <charset val="204"/>
      </rPr>
      <t xml:space="preserve"> Part of the water withdrawn by the Group is used towards the needs of Norilsk residents and the city’s social infrastructure and not included in the Group’s water consumption.</t>
    </r>
  </si>
  <si>
    <r>
      <rPr>
        <b/>
        <i/>
        <vertAlign val="superscript"/>
        <sz val="11"/>
        <color rgb="FFC00000"/>
        <rFont val="Tahoma"/>
        <family val="2"/>
        <charset val="204"/>
      </rPr>
      <t>4</t>
    </r>
    <r>
      <rPr>
        <i/>
        <sz val="11"/>
        <color indexed="63"/>
        <rFont val="Tahoma"/>
        <family val="2"/>
        <charset val="204"/>
      </rPr>
      <t xml:space="preserve"> Excluding water withdrawal from NTEK</t>
    </r>
  </si>
  <si>
    <r>
      <rPr>
        <b/>
        <i/>
        <vertAlign val="superscript"/>
        <sz val="11"/>
        <color rgb="FFC00000"/>
        <rFont val="Tahoma"/>
        <family val="2"/>
        <charset val="204"/>
      </rPr>
      <t xml:space="preserve">5 </t>
    </r>
    <r>
      <rPr>
        <i/>
        <sz val="11"/>
        <rFont val="Tahoma"/>
        <family val="2"/>
        <charset val="204"/>
      </rPr>
      <t>Including the diesel fuel spill in May 2020.</t>
    </r>
  </si>
  <si>
    <r>
      <rPr>
        <b/>
        <vertAlign val="superscript"/>
        <sz val="11"/>
        <color rgb="FFC00000"/>
        <rFont val="Tahoma"/>
        <family val="2"/>
        <charset val="204"/>
      </rPr>
      <t xml:space="preserve">6  </t>
    </r>
    <r>
      <rPr>
        <i/>
        <sz val="11"/>
        <color indexed="63"/>
        <rFont val="Tahoma"/>
        <family val="2"/>
        <charset val="204"/>
      </rPr>
      <t>Including NN Harjavalta, starting from 2021.</t>
    </r>
  </si>
  <si>
    <r>
      <rPr>
        <b/>
        <i/>
        <vertAlign val="superscript"/>
        <sz val="11"/>
        <color rgb="FFC00000"/>
        <rFont val="Tahoma"/>
        <family val="2"/>
        <charset val="204"/>
      </rPr>
      <t>7</t>
    </r>
    <r>
      <rPr>
        <i/>
        <sz val="11"/>
        <color indexed="63"/>
        <rFont val="Tahoma"/>
        <family val="2"/>
        <charset val="204"/>
      </rPr>
      <t xml:space="preserve">  </t>
    </r>
    <r>
      <rPr>
        <i/>
        <sz val="11"/>
        <rFont val="Tahoma"/>
        <family val="2"/>
        <charset val="204"/>
      </rPr>
      <t>Including losses.</t>
    </r>
  </si>
  <si>
    <r>
      <t xml:space="preserve">Employee turnover </t>
    </r>
    <r>
      <rPr>
        <b/>
        <vertAlign val="superscript"/>
        <sz val="11"/>
        <color rgb="FFC00000"/>
        <rFont val="Tahoma"/>
        <family val="2"/>
        <charset val="204"/>
      </rPr>
      <t>1</t>
    </r>
  </si>
  <si>
    <r>
      <t xml:space="preserve">Average salary </t>
    </r>
    <r>
      <rPr>
        <b/>
        <vertAlign val="superscript"/>
        <sz val="11"/>
        <color rgb="FFC00000"/>
        <rFont val="Tahoma"/>
        <family val="2"/>
        <charset val="204"/>
      </rPr>
      <t>2</t>
    </r>
  </si>
  <si>
    <r>
      <t xml:space="preserve">Spending on personnel training </t>
    </r>
    <r>
      <rPr>
        <b/>
        <vertAlign val="superscript"/>
        <sz val="11"/>
        <color rgb="FFC00000"/>
        <rFont val="Tahoma"/>
        <family val="2"/>
        <charset val="204"/>
      </rPr>
      <t>2</t>
    </r>
  </si>
  <si>
    <r>
      <t xml:space="preserve">  Health resort treatment (inc. family members) </t>
    </r>
    <r>
      <rPr>
        <b/>
        <vertAlign val="superscript"/>
        <sz val="11"/>
        <color rgb="FFC00000"/>
        <rFont val="Tahoma"/>
        <family val="2"/>
        <charset val="204"/>
      </rPr>
      <t>3</t>
    </r>
  </si>
  <si>
    <r>
      <t xml:space="preserve">Total expenses </t>
    </r>
    <r>
      <rPr>
        <b/>
        <vertAlign val="superscript"/>
        <sz val="11"/>
        <color rgb="FFC00000"/>
        <rFont val="Tahoma"/>
        <family val="2"/>
        <charset val="204"/>
      </rPr>
      <t>2</t>
    </r>
  </si>
  <si>
    <r>
      <t xml:space="preserve">Total social expenses </t>
    </r>
    <r>
      <rPr>
        <b/>
        <vertAlign val="superscript"/>
        <sz val="11"/>
        <color rgb="FFC00000"/>
        <rFont val="Tahoma"/>
        <family val="2"/>
        <charset val="204"/>
      </rPr>
      <t>4</t>
    </r>
  </si>
  <si>
    <r>
      <t xml:space="preserve">FIFR </t>
    </r>
    <r>
      <rPr>
        <b/>
        <vertAlign val="superscript"/>
        <sz val="11"/>
        <color rgb="FFC00000"/>
        <rFont val="Tahoma"/>
        <family val="2"/>
        <charset val="204"/>
      </rPr>
      <t xml:space="preserve">5 </t>
    </r>
  </si>
  <si>
    <r>
      <t xml:space="preserve">LTIFR </t>
    </r>
    <r>
      <rPr>
        <b/>
        <vertAlign val="superscript"/>
        <sz val="11"/>
        <color rgb="FFC00000"/>
        <rFont val="Tahoma"/>
        <family val="2"/>
        <charset val="204"/>
      </rPr>
      <t>5</t>
    </r>
  </si>
  <si>
    <r>
      <t xml:space="preserve">Industrial accidents, including: </t>
    </r>
    <r>
      <rPr>
        <b/>
        <vertAlign val="superscript"/>
        <sz val="11"/>
        <color rgb="FFC00000"/>
        <rFont val="Tahoma"/>
        <family val="2"/>
        <charset val="204"/>
      </rPr>
      <t>6</t>
    </r>
  </si>
  <si>
    <r>
      <t xml:space="preserve">Health and safety expenses </t>
    </r>
    <r>
      <rPr>
        <b/>
        <vertAlign val="superscript"/>
        <sz val="11"/>
        <color rgb="FFC00000"/>
        <rFont val="Tahoma"/>
        <family val="2"/>
        <charset val="204"/>
      </rPr>
      <t>2</t>
    </r>
  </si>
  <si>
    <r>
      <rPr>
        <b/>
        <i/>
        <vertAlign val="superscript"/>
        <sz val="11"/>
        <color rgb="FFC00000"/>
        <rFont val="Tahoma"/>
        <family val="2"/>
        <charset val="204"/>
      </rPr>
      <t>1</t>
    </r>
    <r>
      <rPr>
        <i/>
        <sz val="11"/>
        <color indexed="63"/>
        <rFont val="Tahoma"/>
        <family val="2"/>
        <charset val="204"/>
      </rPr>
      <t xml:space="preserve"> </t>
    </r>
    <r>
      <rPr>
        <i/>
        <sz val="11"/>
        <rFont val="Tahoma"/>
        <family val="2"/>
        <charset val="204"/>
      </rPr>
      <t>The ratio of voluntary resignations, dismissals for breach of labour discipline and negotiated terminations to the annual average headcount.</t>
    </r>
  </si>
  <si>
    <r>
      <rPr>
        <b/>
        <i/>
        <vertAlign val="superscript"/>
        <sz val="11"/>
        <color rgb="FFC00000"/>
        <rFont val="Tahoma"/>
        <family val="2"/>
        <charset val="204"/>
      </rPr>
      <t>2</t>
    </r>
    <r>
      <rPr>
        <i/>
        <sz val="11"/>
        <color indexed="63"/>
        <rFont val="Tahoma"/>
        <family val="2"/>
        <charset val="204"/>
      </rPr>
      <t xml:space="preserve"> </t>
    </r>
    <r>
      <rPr>
        <i/>
        <sz val="11"/>
        <rFont val="Tahoma"/>
        <family val="2"/>
        <charset val="204"/>
      </rPr>
      <t>Based on the annual average USD/RUB exchange rate.</t>
    </r>
  </si>
  <si>
    <r>
      <rPr>
        <b/>
        <i/>
        <vertAlign val="superscript"/>
        <sz val="11"/>
        <color rgb="FFC00000"/>
        <rFont val="Tahoma"/>
        <family val="2"/>
        <charset val="204"/>
      </rPr>
      <t>3</t>
    </r>
    <r>
      <rPr>
        <i/>
        <sz val="11"/>
        <color indexed="63"/>
        <rFont val="Tahoma"/>
        <family val="2"/>
        <charset val="204"/>
      </rPr>
      <t xml:space="preserve"> </t>
    </r>
    <r>
      <rPr>
        <i/>
        <sz val="11"/>
        <rFont val="Tahoma"/>
        <family val="2"/>
        <charset val="204"/>
      </rPr>
      <t>Including airfare.</t>
    </r>
  </si>
  <si>
    <r>
      <rPr>
        <b/>
        <i/>
        <vertAlign val="superscript"/>
        <sz val="11"/>
        <color rgb="FFC00000"/>
        <rFont val="Tahoma"/>
        <family val="2"/>
        <charset val="204"/>
      </rPr>
      <t>4</t>
    </r>
    <r>
      <rPr>
        <i/>
        <sz val="11"/>
        <color indexed="63"/>
        <rFont val="Tahoma"/>
        <family val="2"/>
        <charset val="204"/>
      </rPr>
      <t xml:space="preserve"> According to IFRS statements.</t>
    </r>
  </si>
  <si>
    <r>
      <rPr>
        <b/>
        <i/>
        <vertAlign val="superscript"/>
        <sz val="11"/>
        <color rgb="FFC00000"/>
        <rFont val="Tahoma"/>
        <family val="2"/>
        <charset val="204"/>
      </rPr>
      <t>5</t>
    </r>
    <r>
      <rPr>
        <i/>
        <sz val="11"/>
        <color theme="1"/>
        <rFont val="Tahoma"/>
        <family val="2"/>
        <charset val="204"/>
      </rPr>
      <t xml:space="preserve"> Indicators have been monitored since 2013:
FIFR (Fatal-Injury Frequency Rate) - number of fatalities / actual hours worked by all employees * 1 000 000
LTIFR (Lost Time Injury Frequency Rate) – lost workdays due to injuries (excluding fatal) / actual hours worked by all employees * 1 000 000</t>
    </r>
  </si>
  <si>
    <r>
      <rPr>
        <b/>
        <i/>
        <vertAlign val="superscript"/>
        <sz val="11"/>
        <color rgb="FFC00000"/>
        <rFont val="Tahoma"/>
        <family val="2"/>
        <charset val="204"/>
      </rPr>
      <t>6</t>
    </r>
    <r>
      <rPr>
        <i/>
        <sz val="11"/>
        <color theme="1"/>
        <rFont val="Tahoma"/>
        <family val="2"/>
        <charset val="204"/>
      </rPr>
      <t xml:space="preserve"> Excluding contractors.
</t>
    </r>
  </si>
  <si>
    <r>
      <t xml:space="preserve">Corporate Governance </t>
    </r>
    <r>
      <rPr>
        <b/>
        <vertAlign val="superscript"/>
        <sz val="11"/>
        <color theme="0"/>
        <rFont val="Tahoma"/>
        <family val="2"/>
        <charset val="204"/>
      </rPr>
      <t>1</t>
    </r>
  </si>
  <si>
    <r>
      <t>COMMITTEES OF THE BOARD OF DIRECTORS</t>
    </r>
    <r>
      <rPr>
        <b/>
        <sz val="11"/>
        <color rgb="FFC00000"/>
        <rFont val="Tahoma"/>
        <family val="2"/>
        <charset val="204"/>
      </rPr>
      <t xml:space="preserve"> </t>
    </r>
  </si>
  <si>
    <r>
      <t xml:space="preserve">Sustainable Development and Climate Change Committee </t>
    </r>
    <r>
      <rPr>
        <b/>
        <vertAlign val="superscript"/>
        <sz val="11"/>
        <color rgb="FFC00000"/>
        <rFont val="Tahoma"/>
        <family val="2"/>
        <charset val="204"/>
      </rPr>
      <t>2</t>
    </r>
  </si>
  <si>
    <r>
      <t xml:space="preserve">MANAGEMENT BOARD </t>
    </r>
    <r>
      <rPr>
        <b/>
        <vertAlign val="superscript"/>
        <sz val="11"/>
        <color rgb="FFC00000"/>
        <rFont val="Tahoma"/>
        <family val="2"/>
        <charset val="204"/>
      </rPr>
      <t>1</t>
    </r>
  </si>
  <si>
    <r>
      <rPr>
        <sz val="11"/>
        <rFont val="Tahoma"/>
        <family val="2"/>
        <charset val="204"/>
      </rPr>
      <t>Auditor's fee</t>
    </r>
    <r>
      <rPr>
        <sz val="11"/>
        <color indexed="63"/>
        <rFont val="Tahoma"/>
        <family val="2"/>
        <charset val="204"/>
      </rPr>
      <t xml:space="preserve"> </t>
    </r>
    <r>
      <rPr>
        <b/>
        <vertAlign val="superscript"/>
        <sz val="11"/>
        <color rgb="FFC00000"/>
        <rFont val="Tahoma"/>
        <family val="2"/>
        <charset val="204"/>
      </rPr>
      <t>2</t>
    </r>
  </si>
  <si>
    <r>
      <rPr>
        <b/>
        <i/>
        <vertAlign val="superscript"/>
        <sz val="11"/>
        <color rgb="FFC00000"/>
        <rFont val="Tahoma"/>
        <family val="2"/>
        <charset val="204"/>
      </rPr>
      <t>1</t>
    </r>
    <r>
      <rPr>
        <i/>
        <sz val="11"/>
        <color theme="1"/>
        <rFont val="Tahoma"/>
        <family val="2"/>
        <charset val="204"/>
      </rPr>
      <t xml:space="preserve"> The indicators are given at the end of the year.</t>
    </r>
  </si>
  <si>
    <r>
      <rPr>
        <b/>
        <i/>
        <vertAlign val="superscript"/>
        <sz val="11"/>
        <color rgb="FFC00000"/>
        <rFont val="Tahoma"/>
        <family val="2"/>
        <charset val="204"/>
      </rPr>
      <t>2</t>
    </r>
    <r>
      <rPr>
        <i/>
        <sz val="11"/>
        <color indexed="63"/>
        <rFont val="Tahoma"/>
        <family val="2"/>
        <charset val="204"/>
      </rPr>
      <t xml:space="preserve"> </t>
    </r>
    <r>
      <rPr>
        <i/>
        <sz val="11"/>
        <rFont val="Tahoma"/>
        <family val="2"/>
        <charset val="204"/>
      </rPr>
      <t>The Committee was established on June 1, 2021.</t>
    </r>
  </si>
  <si>
    <r>
      <rPr>
        <b/>
        <vertAlign val="superscript"/>
        <sz val="11"/>
        <color rgb="FFC00000"/>
        <rFont val="Tahoma"/>
        <family val="2"/>
        <charset val="204"/>
      </rPr>
      <t>3</t>
    </r>
    <r>
      <rPr>
        <i/>
        <sz val="11"/>
        <color indexed="63"/>
        <rFont val="Tahoma"/>
        <family val="2"/>
        <charset val="204"/>
      </rPr>
      <t xml:space="preserve"> </t>
    </r>
    <r>
      <rPr>
        <i/>
        <sz val="11"/>
        <rFont val="Tahoma"/>
        <family val="2"/>
        <charset val="204"/>
      </rPr>
      <t>The auditor's remuneration includes VAT until 2018, and starting from 2019 does not include VAT.</t>
    </r>
  </si>
  <si>
    <r>
      <t xml:space="preserve">E-mail: </t>
    </r>
    <r>
      <rPr>
        <u/>
        <sz val="11"/>
        <color rgb="FF2E75B6"/>
        <rFont val="Tahoma"/>
        <family val="2"/>
        <charset val="204"/>
      </rPr>
      <t>ir@nornik.ru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</si>
</sst>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
  </numFmts>
  <fonts count="50" x14ac:knownFonts="1">
    <font>
      <sz val="11"/>
      <color theme="1"/>
      <name val="Calibri"/>
      <family val="2"/>
      <charset val="204"/>
      <scheme val="minor"/>
    </font>
    <font>
      <sz val="10"/>
      <name val="Arial"/>
      <family val="2"/>
      <charset val="204"/>
    </font>
    <font>
      <sz val="10"/>
      <name val="Calibri"/>
      <family val="2"/>
    </font>
    <font>
      <sz val="10"/>
      <color indexed="63"/>
      <name val="Arial"/>
      <family val="2"/>
    </font>
    <font>
      <sz val="10"/>
      <color indexed="8"/>
      <name val="Arial"/>
      <family val="2"/>
    </font>
    <font>
      <b/>
      <sz val="10"/>
      <color indexed="8"/>
      <name val="Arial"/>
      <family val="2"/>
    </font>
    <font>
      <u/>
      <sz val="11"/>
      <color theme="10"/>
      <name val="Calibri"/>
      <family val="2"/>
      <scheme val="minor"/>
    </font>
    <font>
      <sz val="11"/>
      <color theme="1"/>
      <name val="Calibri"/>
      <family val="2"/>
      <scheme val="minor"/>
    </font>
    <font>
      <sz val="11"/>
      <color theme="1"/>
      <name val="Calibri"/>
      <family val="2"/>
      <charset val="204"/>
      <scheme val="minor"/>
    </font>
    <font>
      <sz val="11"/>
      <color rgb="FF000000"/>
      <name val="Tahoma"/>
      <family val="2"/>
      <charset val="204"/>
    </font>
    <font>
      <b/>
      <sz val="11"/>
      <color theme="1"/>
      <name val="Calibri"/>
      <family val="2"/>
      <charset val="204"/>
      <scheme val="minor"/>
    </font>
    <font>
      <b/>
      <sz val="11"/>
      <color theme="0"/>
      <name val="Tahoma"/>
      <family val="2"/>
      <charset val="204"/>
    </font>
    <font>
      <b/>
      <vertAlign val="superscript"/>
      <sz val="11"/>
      <color theme="0"/>
      <name val="Tahoma"/>
      <family val="2"/>
      <charset val="204"/>
    </font>
    <font>
      <sz val="11"/>
      <color theme="1"/>
      <name val="Tahoma"/>
      <family val="2"/>
      <charset val="204"/>
    </font>
    <font>
      <b/>
      <u/>
      <sz val="11"/>
      <color theme="10"/>
      <name val="Tahoma"/>
      <family val="2"/>
      <charset val="204"/>
    </font>
    <font>
      <b/>
      <sz val="11"/>
      <color theme="1"/>
      <name val="Tahoma"/>
      <family val="2"/>
      <charset val="204"/>
    </font>
    <font>
      <sz val="11"/>
      <name val="Tahoma"/>
      <family val="2"/>
      <charset val="204"/>
    </font>
    <font>
      <b/>
      <sz val="11"/>
      <color indexed="8"/>
      <name val="Tahoma"/>
      <family val="2"/>
      <charset val="204"/>
    </font>
    <font>
      <i/>
      <sz val="11"/>
      <color indexed="8"/>
      <name val="Tahoma"/>
      <family val="2"/>
      <charset val="204"/>
    </font>
    <font>
      <i/>
      <vertAlign val="subscript"/>
      <sz val="11"/>
      <color indexed="8"/>
      <name val="Tahoma"/>
      <family val="2"/>
      <charset val="204"/>
    </font>
    <font>
      <i/>
      <sz val="11"/>
      <color theme="1"/>
      <name val="Tahoma"/>
      <family val="2"/>
      <charset val="204"/>
    </font>
    <font>
      <b/>
      <sz val="11"/>
      <name val="Tahoma"/>
      <family val="2"/>
      <charset val="204"/>
    </font>
    <font>
      <i/>
      <sz val="11"/>
      <name val="Tahoma"/>
      <family val="2"/>
      <charset val="204"/>
    </font>
    <font>
      <sz val="11"/>
      <color indexed="8"/>
      <name val="Tahoma"/>
      <family val="2"/>
      <charset val="204"/>
    </font>
    <font>
      <b/>
      <i/>
      <sz val="11"/>
      <color indexed="8"/>
      <name val="Tahoma"/>
      <family val="2"/>
      <charset val="204"/>
    </font>
    <font>
      <b/>
      <i/>
      <vertAlign val="subscript"/>
      <sz val="11"/>
      <color indexed="8"/>
      <name val="Tahoma"/>
      <family val="2"/>
      <charset val="204"/>
    </font>
    <font>
      <b/>
      <i/>
      <sz val="11"/>
      <name val="Tahoma"/>
      <family val="2"/>
      <charset val="204"/>
    </font>
    <font>
      <b/>
      <i/>
      <sz val="11"/>
      <color theme="1"/>
      <name val="Tahoma"/>
      <family val="2"/>
      <charset val="204"/>
    </font>
    <font>
      <b/>
      <vertAlign val="superscript"/>
      <sz val="11"/>
      <color rgb="FFC00000"/>
      <name val="Tahoma"/>
      <family val="2"/>
      <charset val="204"/>
    </font>
    <font>
      <vertAlign val="superscript"/>
      <sz val="11"/>
      <name val="Tahoma"/>
      <family val="2"/>
      <charset val="204"/>
    </font>
    <font>
      <i/>
      <vertAlign val="superscript"/>
      <sz val="11"/>
      <name val="Tahoma"/>
      <family val="2"/>
      <charset val="204"/>
    </font>
    <font>
      <b/>
      <i/>
      <vertAlign val="superscript"/>
      <sz val="11"/>
      <color rgb="FFC00000"/>
      <name val="Tahoma"/>
      <family val="2"/>
      <charset val="204"/>
    </font>
    <font>
      <sz val="11"/>
      <color indexed="63"/>
      <name val="Tahoma"/>
      <family val="2"/>
      <charset val="204"/>
    </font>
    <font>
      <u/>
      <sz val="11"/>
      <color theme="10"/>
      <name val="Tahoma"/>
      <family val="2"/>
      <charset val="204"/>
    </font>
    <font>
      <i/>
      <sz val="11"/>
      <color indexed="63"/>
      <name val="Tahoma"/>
      <family val="2"/>
      <charset val="204"/>
    </font>
    <font>
      <b/>
      <sz val="11"/>
      <color indexed="63"/>
      <name val="Tahoma"/>
      <family val="2"/>
      <charset val="204"/>
    </font>
    <font>
      <b/>
      <sz val="11"/>
      <color rgb="FFC00000"/>
      <name val="Tahoma"/>
      <family val="2"/>
      <charset val="204"/>
    </font>
    <font>
      <u/>
      <sz val="11"/>
      <color rgb="FFFF0000"/>
      <name val="Tahoma"/>
      <family val="2"/>
      <charset val="204"/>
    </font>
    <font>
      <sz val="11"/>
      <color rgb="FFFF0000"/>
      <name val="Tahoma"/>
      <family val="2"/>
      <charset val="204"/>
    </font>
    <font>
      <sz val="11"/>
      <name val="Arial"/>
      <family val="2"/>
      <charset val="204"/>
    </font>
    <font>
      <sz val="11"/>
      <color rgb="FF2175C1"/>
      <name val="Arial"/>
      <family val="2"/>
      <charset val="204"/>
    </font>
    <font>
      <sz val="11"/>
      <color rgb="FF2175C1"/>
      <name val="Tahoma"/>
      <family val="2"/>
      <charset val="204"/>
    </font>
    <font>
      <b/>
      <sz val="11"/>
      <color theme="1" tint="0.34998626667073579"/>
      <name val="Tahoma"/>
      <family val="2"/>
      <charset val="204"/>
    </font>
    <font>
      <sz val="11"/>
      <color theme="0"/>
      <name val="Tahoma"/>
      <family val="2"/>
      <charset val="204"/>
    </font>
    <font>
      <b/>
      <sz val="11"/>
      <color rgb="FF000000"/>
      <name val="Tahoma"/>
      <family val="2"/>
      <charset val="204"/>
    </font>
    <font>
      <sz val="11"/>
      <color theme="1" tint="0.34998626667073579"/>
      <name val="Tahoma"/>
      <family val="2"/>
      <charset val="204"/>
    </font>
    <font>
      <sz val="11"/>
      <color theme="1" tint="0.34998626667073579"/>
      <name val="Arial"/>
      <family val="2"/>
      <charset val="204"/>
    </font>
    <font>
      <sz val="11"/>
      <color rgb="FF595959"/>
      <name val="Tahoma"/>
      <family val="2"/>
      <charset val="204"/>
    </font>
    <font>
      <sz val="11"/>
      <color rgb="FF767171"/>
      <name val="Tahoma"/>
      <family val="2"/>
      <charset val="204"/>
    </font>
    <font>
      <u/>
      <sz val="11"/>
      <color rgb="FF2E75B6"/>
      <name val="Tahoma"/>
      <family val="2"/>
      <charset val="204"/>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39997558519241921"/>
        <bgColor indexed="64"/>
      </patternFill>
    </fill>
  </fills>
  <borders count="13">
    <border>
      <left/>
      <right/>
      <top/>
      <bottom/>
      <diagonal/>
    </border>
    <border>
      <left style="thin">
        <color auto="1"/>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11">
    <xf numFmtId="0" fontId="0" fillId="0" borderId="0"/>
    <xf numFmtId="0" fontId="1" fillId="0" borderId="0"/>
    <xf numFmtId="0" fontId="2" fillId="3" borderId="0" applyNumberFormat="0" applyBorder="0" applyProtection="0">
      <alignment horizontal="center"/>
    </xf>
    <xf numFmtId="0" fontId="3" fillId="3" borderId="1"/>
    <xf numFmtId="164" fontId="4" fillId="3" borderId="2">
      <alignment horizontal="right"/>
    </xf>
    <xf numFmtId="0" fontId="5" fillId="3" borderId="1"/>
    <xf numFmtId="164" fontId="5" fillId="3" borderId="2">
      <alignment horizontal="right"/>
    </xf>
    <xf numFmtId="3" fontId="4" fillId="3" borderId="2">
      <alignment horizontal="right"/>
    </xf>
    <xf numFmtId="0" fontId="6" fillId="0" borderId="0" applyNumberFormat="0" applyFill="0" applyBorder="0" applyAlignment="0" applyProtection="0"/>
    <xf numFmtId="0" fontId="7" fillId="0" borderId="0"/>
    <xf numFmtId="9" fontId="8" fillId="0" borderId="0" applyFont="0" applyFill="0" applyBorder="0" applyAlignment="0" applyProtection="0"/>
  </cellStyleXfs>
  <cellXfs count="345">
    <xf numFmtId="0" fontId="0" fillId="0" borderId="0" xfId="0"/>
    <xf numFmtId="0" fontId="9" fillId="0" borderId="0" xfId="0" applyFont="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xf>
    <xf numFmtId="0" fontId="9" fillId="2" borderId="0" xfId="0" applyFont="1" applyFill="1" applyAlignment="1">
      <alignment horizontal="right" vertical="center" wrapText="1"/>
    </xf>
    <xf numFmtId="0" fontId="9" fillId="2" borderId="0" xfId="0" applyFont="1" applyFill="1" applyBorder="1" applyAlignment="1">
      <alignment horizontal="right" vertical="center" wrapText="1"/>
    </xf>
    <xf numFmtId="0" fontId="11" fillId="4" borderId="3" xfId="1" applyFont="1" applyFill="1" applyBorder="1" applyAlignment="1">
      <alignment horizontal="center" vertical="center"/>
    </xf>
    <xf numFmtId="0" fontId="11" fillId="4" borderId="2" xfId="1" applyFont="1" applyFill="1" applyBorder="1" applyAlignment="1">
      <alignment horizontal="center" vertical="center"/>
    </xf>
    <xf numFmtId="0" fontId="11" fillId="4" borderId="0" xfId="1" applyFont="1" applyFill="1" applyBorder="1" applyAlignment="1">
      <alignment horizontal="center" vertical="center"/>
    </xf>
    <xf numFmtId="49" fontId="11" fillId="4" borderId="0" xfId="1" applyNumberFormat="1" applyFont="1" applyFill="1" applyBorder="1" applyAlignment="1">
      <alignment horizontal="center" vertical="center"/>
    </xf>
    <xf numFmtId="0" fontId="13" fillId="0" borderId="0" xfId="0" applyFont="1" applyBorder="1"/>
    <xf numFmtId="0" fontId="14" fillId="6" borderId="0" xfId="8" applyFont="1" applyFill="1" applyBorder="1"/>
    <xf numFmtId="0" fontId="13" fillId="2" borderId="3" xfId="0" applyFont="1" applyFill="1" applyBorder="1"/>
    <xf numFmtId="0" fontId="13" fillId="2" borderId="2" xfId="0" applyFont="1" applyFill="1" applyBorder="1"/>
    <xf numFmtId="0" fontId="13" fillId="2" borderId="0" xfId="0" applyFont="1" applyFill="1" applyBorder="1"/>
    <xf numFmtId="0" fontId="13" fillId="2" borderId="0" xfId="0" applyFont="1" applyFill="1" applyBorder="1" applyAlignment="1">
      <alignment horizontal="center"/>
    </xf>
    <xf numFmtId="0" fontId="11" fillId="4" borderId="3" xfId="1" applyFont="1" applyFill="1" applyBorder="1" applyAlignment="1">
      <alignment horizontal="left"/>
    </xf>
    <xf numFmtId="0" fontId="11" fillId="4" borderId="2" xfId="1" applyFont="1" applyFill="1" applyBorder="1" applyAlignment="1">
      <alignment horizontal="center"/>
    </xf>
    <xf numFmtId="0" fontId="11" fillId="4" borderId="0" xfId="1" applyFont="1" applyFill="1" applyBorder="1" applyAlignment="1">
      <alignment horizontal="center"/>
    </xf>
    <xf numFmtId="0" fontId="11" fillId="4" borderId="0" xfId="1" applyFont="1" applyFill="1" applyBorder="1" applyAlignment="1"/>
    <xf numFmtId="0" fontId="15" fillId="5" borderId="3" xfId="5" applyNumberFormat="1" applyFont="1" applyFill="1" applyBorder="1" applyAlignment="1" applyProtection="1"/>
    <xf numFmtId="0" fontId="15" fillId="5" borderId="2" xfId="3" applyNumberFormat="1" applyFont="1" applyFill="1" applyBorder="1" applyAlignment="1" applyProtection="1"/>
    <xf numFmtId="0" fontId="15" fillId="5" borderId="0" xfId="3" applyNumberFormat="1" applyFont="1" applyFill="1" applyBorder="1" applyAlignment="1" applyProtection="1"/>
    <xf numFmtId="0" fontId="15" fillId="5" borderId="0" xfId="3" applyNumberFormat="1" applyFont="1" applyFill="1" applyBorder="1" applyAlignment="1" applyProtection="1">
      <alignment horizontal="center"/>
    </xf>
    <xf numFmtId="0" fontId="15" fillId="5" borderId="0" xfId="3" applyNumberFormat="1" applyFont="1" applyFill="1" applyBorder="1" applyAlignment="1" applyProtection="1">
      <alignment horizontal="center"/>
    </xf>
    <xf numFmtId="0" fontId="15" fillId="0" borderId="3" xfId="5" applyNumberFormat="1" applyFont="1" applyFill="1" applyBorder="1" applyAlignment="1" applyProtection="1"/>
    <xf numFmtId="164" fontId="16" fillId="0" borderId="2" xfId="3" applyNumberFormat="1" applyFont="1" applyFill="1" applyBorder="1" applyAlignment="1" applyProtection="1">
      <alignment horizontal="center"/>
    </xf>
    <xf numFmtId="3" fontId="17" fillId="2" borderId="0" xfId="6" applyNumberFormat="1" applyFont="1" applyFill="1" applyBorder="1" applyAlignment="1" applyProtection="1"/>
    <xf numFmtId="3" fontId="17" fillId="0" borderId="0" xfId="6" applyNumberFormat="1" applyFont="1" applyFill="1" applyBorder="1" applyAlignment="1" applyProtection="1"/>
    <xf numFmtId="3" fontId="15" fillId="2" borderId="0" xfId="0" applyNumberFormat="1" applyFont="1" applyFill="1" applyBorder="1" applyAlignment="1"/>
    <xf numFmtId="0" fontId="13" fillId="0" borderId="0" xfId="0" applyFont="1" applyFill="1" applyBorder="1"/>
    <xf numFmtId="0" fontId="18" fillId="0" borderId="3" xfId="5" applyNumberFormat="1" applyFont="1" applyFill="1" applyBorder="1" applyAlignment="1" applyProtection="1">
      <alignment horizontal="left"/>
    </xf>
    <xf numFmtId="3" fontId="18" fillId="0" borderId="0" xfId="6" applyNumberFormat="1" applyFont="1" applyFill="1" applyBorder="1" applyAlignment="1" applyProtection="1"/>
    <xf numFmtId="3" fontId="20" fillId="0" borderId="0" xfId="0" applyNumberFormat="1" applyFont="1" applyFill="1" applyBorder="1" applyAlignment="1"/>
    <xf numFmtId="3" fontId="20" fillId="2" borderId="0" xfId="0" applyNumberFormat="1" applyFont="1" applyFill="1" applyBorder="1" applyAlignment="1"/>
    <xf numFmtId="3" fontId="18" fillId="2" borderId="0" xfId="6" applyNumberFormat="1" applyFont="1" applyFill="1" applyBorder="1" applyAlignment="1" applyProtection="1"/>
    <xf numFmtId="3" fontId="15" fillId="0" borderId="0" xfId="0" applyNumberFormat="1" applyFont="1" applyFill="1" applyBorder="1" applyAlignment="1"/>
    <xf numFmtId="3" fontId="21" fillId="2" borderId="0" xfId="0" applyNumberFormat="1" applyFont="1" applyFill="1" applyBorder="1" applyAlignment="1"/>
    <xf numFmtId="3" fontId="22" fillId="0" borderId="0" xfId="0" applyNumberFormat="1" applyFont="1" applyFill="1" applyBorder="1" applyAlignment="1"/>
    <xf numFmtId="3" fontId="23" fillId="0" borderId="0" xfId="6" applyNumberFormat="1" applyFont="1" applyFill="1" applyBorder="1" applyAlignment="1" applyProtection="1"/>
    <xf numFmtId="3" fontId="23" fillId="2" borderId="0" xfId="6" applyNumberFormat="1" applyFont="1" applyFill="1" applyBorder="1" applyAlignment="1" applyProtection="1"/>
    <xf numFmtId="0" fontId="18" fillId="0" borderId="10" xfId="5" applyNumberFormat="1" applyFont="1" applyFill="1" applyBorder="1" applyAlignment="1" applyProtection="1">
      <alignment horizontal="left"/>
    </xf>
    <xf numFmtId="164" fontId="16" fillId="0" borderId="11" xfId="3" applyNumberFormat="1" applyFont="1" applyFill="1" applyBorder="1" applyAlignment="1" applyProtection="1">
      <alignment horizontal="center"/>
    </xf>
    <xf numFmtId="3" fontId="20" fillId="0" borderId="9" xfId="0" applyNumberFormat="1" applyFont="1" applyFill="1" applyBorder="1" applyAlignment="1"/>
    <xf numFmtId="3" fontId="22" fillId="0" borderId="9" xfId="0" applyNumberFormat="1" applyFont="1" applyFill="1" applyBorder="1" applyAlignment="1"/>
    <xf numFmtId="3" fontId="20" fillId="2" borderId="9" xfId="0" applyNumberFormat="1" applyFont="1" applyFill="1" applyBorder="1" applyAlignment="1"/>
    <xf numFmtId="164" fontId="21" fillId="0" borderId="2" xfId="3" applyNumberFormat="1" applyFont="1" applyFill="1" applyBorder="1" applyAlignment="1" applyProtection="1">
      <alignment horizontal="center"/>
    </xf>
    <xf numFmtId="0" fontId="24" fillId="0" borderId="3" xfId="5" applyNumberFormat="1" applyFont="1" applyFill="1" applyBorder="1" applyAlignment="1" applyProtection="1">
      <alignment horizontal="left"/>
    </xf>
    <xf numFmtId="164" fontId="26" fillId="0" borderId="2" xfId="3" applyNumberFormat="1" applyFont="1" applyFill="1" applyBorder="1" applyAlignment="1" applyProtection="1">
      <alignment horizontal="center"/>
    </xf>
    <xf numFmtId="3" fontId="24" fillId="0" borderId="0" xfId="6" applyNumberFormat="1" applyFont="1" applyFill="1" applyBorder="1" applyAlignment="1" applyProtection="1"/>
    <xf numFmtId="3" fontId="26" fillId="0" borderId="0" xfId="6" applyNumberFormat="1" applyFont="1" applyFill="1" applyBorder="1" applyAlignment="1" applyProtection="1"/>
    <xf numFmtId="3" fontId="27" fillId="0" borderId="0" xfId="0" applyNumberFormat="1" applyFont="1" applyFill="1" applyBorder="1" applyAlignment="1"/>
    <xf numFmtId="3" fontId="27" fillId="2" borderId="0" xfId="0" applyNumberFormat="1" applyFont="1" applyFill="1" applyBorder="1" applyAlignment="1"/>
    <xf numFmtId="0" fontId="20" fillId="0" borderId="0" xfId="0" applyFont="1" applyFill="1" applyBorder="1"/>
    <xf numFmtId="3" fontId="26" fillId="0" borderId="0" xfId="0" applyNumberFormat="1" applyFont="1" applyFill="1" applyBorder="1" applyAlignment="1"/>
    <xf numFmtId="3" fontId="24" fillId="2" borderId="0" xfId="6" applyNumberFormat="1" applyFont="1" applyFill="1" applyBorder="1" applyAlignment="1" applyProtection="1"/>
    <xf numFmtId="0" fontId="21" fillId="5" borderId="2" xfId="3" applyNumberFormat="1" applyFont="1" applyFill="1" applyBorder="1" applyAlignment="1" applyProtection="1"/>
    <xf numFmtId="0" fontId="21" fillId="5" borderId="0" xfId="3" applyNumberFormat="1" applyFont="1" applyFill="1" applyBorder="1" applyAlignment="1" applyProtection="1">
      <alignment horizontal="center"/>
    </xf>
    <xf numFmtId="3" fontId="22" fillId="2" borderId="0" xfId="0" applyNumberFormat="1" applyFont="1" applyFill="1" applyBorder="1" applyAlignment="1">
      <alignment horizontal="right"/>
    </xf>
    <xf numFmtId="3" fontId="13" fillId="0" borderId="0" xfId="3" applyNumberFormat="1" applyFont="1" applyFill="1" applyBorder="1" applyAlignment="1" applyProtection="1"/>
    <xf numFmtId="3" fontId="13" fillId="0" borderId="0" xfId="3" applyNumberFormat="1" applyFont="1" applyFill="1" applyBorder="1" applyAlignment="1" applyProtection="1">
      <alignment horizontal="right"/>
    </xf>
    <xf numFmtId="0" fontId="20" fillId="0" borderId="0" xfId="0" applyFont="1" applyBorder="1"/>
    <xf numFmtId="0" fontId="18" fillId="0" borderId="3" xfId="5" applyNumberFormat="1" applyFont="1" applyFill="1" applyBorder="1" applyAlignment="1" applyProtection="1">
      <alignment horizontal="right"/>
    </xf>
    <xf numFmtId="3" fontId="20" fillId="0" borderId="0" xfId="3" applyNumberFormat="1" applyFont="1" applyFill="1" applyBorder="1" applyAlignment="1" applyProtection="1">
      <alignment horizontal="right"/>
    </xf>
    <xf numFmtId="0" fontId="18" fillId="0" borderId="0" xfId="5" applyNumberFormat="1" applyFont="1" applyFill="1" applyBorder="1" applyAlignment="1" applyProtection="1">
      <alignment horizontal="right" wrapText="1"/>
    </xf>
    <xf numFmtId="3" fontId="22" fillId="2" borderId="9" xfId="0" applyNumberFormat="1" applyFont="1" applyFill="1" applyBorder="1" applyAlignment="1">
      <alignment horizontal="right"/>
    </xf>
    <xf numFmtId="3" fontId="13" fillId="0" borderId="9" xfId="3" applyNumberFormat="1" applyFont="1" applyFill="1" applyBorder="1" applyAlignment="1" applyProtection="1"/>
    <xf numFmtId="3" fontId="13" fillId="0" borderId="9" xfId="3" applyNumberFormat="1" applyFont="1" applyFill="1" applyBorder="1" applyAlignment="1" applyProtection="1">
      <alignment horizontal="right"/>
    </xf>
    <xf numFmtId="3" fontId="13" fillId="2" borderId="9" xfId="0" applyNumberFormat="1" applyFont="1" applyFill="1" applyBorder="1" applyAlignment="1">
      <alignment horizontal="right"/>
    </xf>
    <xf numFmtId="0" fontId="17" fillId="0" borderId="3" xfId="5" applyNumberFormat="1" applyFont="1" applyFill="1" applyBorder="1" applyAlignment="1" applyProtection="1"/>
    <xf numFmtId="3" fontId="21" fillId="2" borderId="0" xfId="0" applyNumberFormat="1" applyFont="1" applyFill="1" applyBorder="1" applyAlignment="1">
      <alignment horizontal="right"/>
    </xf>
    <xf numFmtId="3" fontId="15" fillId="0" borderId="0" xfId="3" applyNumberFormat="1" applyFont="1" applyFill="1" applyBorder="1" applyAlignment="1" applyProtection="1"/>
    <xf numFmtId="3" fontId="15" fillId="0" borderId="0" xfId="3" applyNumberFormat="1" applyFont="1" applyFill="1" applyBorder="1" applyAlignment="1" applyProtection="1">
      <alignment horizontal="right"/>
    </xf>
    <xf numFmtId="0" fontId="15" fillId="0" borderId="0" xfId="0" applyFont="1" applyBorder="1"/>
    <xf numFmtId="0" fontId="23" fillId="0" borderId="3" xfId="5" applyNumberFormat="1" applyFont="1" applyFill="1" applyBorder="1" applyAlignment="1" applyProtection="1">
      <alignment horizontal="left"/>
    </xf>
    <xf numFmtId="164" fontId="16" fillId="0" borderId="1" xfId="3" applyNumberFormat="1" applyFont="1" applyFill="1" applyBorder="1" applyAlignment="1" applyProtection="1">
      <alignment horizontal="center"/>
    </xf>
    <xf numFmtId="165" fontId="13"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0" fontId="23" fillId="3" borderId="10" xfId="5" applyNumberFormat="1" applyFont="1" applyFill="1" applyBorder="1" applyAlignment="1" applyProtection="1">
      <alignment horizontal="left"/>
    </xf>
    <xf numFmtId="3" fontId="16" fillId="2" borderId="9" xfId="0" applyNumberFormat="1" applyFont="1" applyFill="1" applyBorder="1" applyAlignment="1">
      <alignment horizontal="right"/>
    </xf>
    <xf numFmtId="0" fontId="21" fillId="0" borderId="3" xfId="5" applyNumberFormat="1" applyFont="1" applyFill="1" applyBorder="1" applyAlignment="1" applyProtection="1"/>
    <xf numFmtId="3" fontId="26" fillId="2" borderId="0" xfId="0" applyNumberFormat="1" applyFont="1" applyFill="1" applyBorder="1" applyAlignment="1">
      <alignment horizontal="right"/>
    </xf>
    <xf numFmtId="0" fontId="26" fillId="0" borderId="0" xfId="0" applyFont="1" applyBorder="1"/>
    <xf numFmtId="0" fontId="21" fillId="4" borderId="2" xfId="1" applyFont="1" applyFill="1" applyBorder="1" applyAlignment="1">
      <alignment horizontal="center"/>
    </xf>
    <xf numFmtId="0" fontId="21" fillId="4" borderId="0" xfId="1" applyFont="1" applyFill="1" applyBorder="1" applyAlignment="1">
      <alignment horizontal="center"/>
    </xf>
    <xf numFmtId="0" fontId="21" fillId="4" borderId="0" xfId="1" applyFont="1" applyFill="1" applyBorder="1" applyAlignment="1"/>
    <xf numFmtId="0" fontId="21" fillId="5" borderId="0" xfId="3" applyNumberFormat="1" applyFont="1" applyFill="1" applyBorder="1" applyAlignment="1" applyProtection="1"/>
    <xf numFmtId="0" fontId="23" fillId="0" borderId="3" xfId="5" applyNumberFormat="1" applyFont="1" applyFill="1" applyBorder="1" applyAlignment="1" applyProtection="1"/>
    <xf numFmtId="0" fontId="16" fillId="0" borderId="2" xfId="3" applyNumberFormat="1" applyFont="1" applyFill="1" applyBorder="1" applyAlignment="1" applyProtection="1">
      <alignment horizontal="center"/>
    </xf>
    <xf numFmtId="0" fontId="23" fillId="0" borderId="10" xfId="5" applyNumberFormat="1" applyFont="1" applyFill="1" applyBorder="1" applyAlignment="1" applyProtection="1"/>
    <xf numFmtId="0" fontId="16" fillId="0" borderId="11" xfId="3" applyNumberFormat="1" applyFont="1" applyFill="1" applyBorder="1" applyAlignment="1" applyProtection="1">
      <alignment horizontal="center"/>
    </xf>
    <xf numFmtId="3" fontId="23" fillId="2" borderId="9" xfId="6" applyNumberFormat="1" applyFont="1" applyFill="1" applyBorder="1" applyAlignment="1" applyProtection="1"/>
    <xf numFmtId="0" fontId="21" fillId="5" borderId="0" xfId="3" applyNumberFormat="1" applyFont="1" applyFill="1" applyBorder="1" applyAlignment="1" applyProtection="1">
      <alignment horizontal="center"/>
    </xf>
    <xf numFmtId="0" fontId="16" fillId="3" borderId="2" xfId="3" applyNumberFormat="1" applyFont="1" applyFill="1" applyBorder="1" applyAlignment="1" applyProtection="1">
      <alignment horizontal="center"/>
    </xf>
    <xf numFmtId="9" fontId="13" fillId="2" borderId="0" xfId="10" applyFont="1" applyFill="1" applyBorder="1" applyAlignment="1"/>
    <xf numFmtId="9" fontId="13" fillId="0" borderId="0" xfId="10" applyFont="1" applyFill="1" applyBorder="1" applyAlignment="1"/>
    <xf numFmtId="0" fontId="16" fillId="3" borderId="11" xfId="3" applyNumberFormat="1" applyFont="1" applyFill="1" applyBorder="1" applyAlignment="1" applyProtection="1">
      <alignment horizontal="center"/>
    </xf>
    <xf numFmtId="9" fontId="13" fillId="2" borderId="9" xfId="10" applyFont="1" applyFill="1" applyBorder="1" applyAlignment="1"/>
    <xf numFmtId="9" fontId="13" fillId="0" borderId="9" xfId="10" applyFont="1" applyFill="1" applyBorder="1" applyAlignment="1"/>
    <xf numFmtId="9" fontId="13" fillId="0" borderId="9" xfId="10" applyNumberFormat="1" applyFont="1" applyFill="1" applyBorder="1" applyAlignment="1"/>
    <xf numFmtId="0" fontId="21" fillId="3" borderId="2" xfId="3" applyNumberFormat="1" applyFont="1" applyFill="1" applyBorder="1" applyAlignment="1" applyProtection="1">
      <alignment horizontal="center"/>
    </xf>
    <xf numFmtId="9" fontId="15" fillId="2" borderId="0" xfId="10" applyFont="1" applyFill="1" applyBorder="1" applyAlignment="1"/>
    <xf numFmtId="9" fontId="15" fillId="0" borderId="0" xfId="10" applyFont="1" applyFill="1" applyBorder="1" applyAlignment="1"/>
    <xf numFmtId="9" fontId="15" fillId="0" borderId="0" xfId="10" applyNumberFormat="1" applyFont="1" applyFill="1" applyBorder="1" applyAlignment="1"/>
    <xf numFmtId="1" fontId="13" fillId="2" borderId="0" xfId="0" applyNumberFormat="1" applyFont="1" applyFill="1" applyBorder="1" applyAlignment="1"/>
    <xf numFmtId="1" fontId="13" fillId="0" borderId="0" xfId="0" applyNumberFormat="1" applyFont="1" applyFill="1" applyBorder="1" applyAlignment="1"/>
    <xf numFmtId="1" fontId="13" fillId="2" borderId="9" xfId="0" applyNumberFormat="1" applyFont="1" applyFill="1" applyBorder="1" applyAlignment="1"/>
    <xf numFmtId="1" fontId="13" fillId="2" borderId="9" xfId="0" applyNumberFormat="1" applyFont="1" applyFill="1" applyBorder="1"/>
    <xf numFmtId="1" fontId="21" fillId="2" borderId="0" xfId="0" applyNumberFormat="1" applyFont="1" applyFill="1" applyBorder="1" applyAlignment="1"/>
    <xf numFmtId="1" fontId="15" fillId="5" borderId="0" xfId="3" applyNumberFormat="1" applyFont="1" applyFill="1" applyBorder="1" applyAlignment="1" applyProtection="1">
      <alignment horizontal="center"/>
    </xf>
    <xf numFmtId="0" fontId="21" fillId="0" borderId="2" xfId="3" applyNumberFormat="1" applyFont="1" applyFill="1" applyBorder="1" applyAlignment="1" applyProtection="1"/>
    <xf numFmtId="1" fontId="15" fillId="0" borderId="0" xfId="3" applyNumberFormat="1" applyFont="1" applyFill="1" applyBorder="1" applyAlignment="1" applyProtection="1">
      <alignment horizontal="center"/>
    </xf>
    <xf numFmtId="0" fontId="15" fillId="0" borderId="0" xfId="0" applyFont="1" applyFill="1" applyBorder="1"/>
    <xf numFmtId="0" fontId="22" fillId="0" borderId="2" xfId="3" applyNumberFormat="1" applyFont="1" applyFill="1" applyBorder="1" applyAlignment="1" applyProtection="1">
      <alignment horizontal="center"/>
    </xf>
    <xf numFmtId="1" fontId="20" fillId="0" borderId="0" xfId="0" applyNumberFormat="1" applyFont="1" applyFill="1" applyBorder="1" applyAlignment="1"/>
    <xf numFmtId="165" fontId="20" fillId="0" borderId="0" xfId="0" applyNumberFormat="1" applyFont="1" applyFill="1" applyBorder="1" applyAlignment="1"/>
    <xf numFmtId="1" fontId="20" fillId="2" borderId="0" xfId="0" applyNumberFormat="1" applyFont="1" applyFill="1" applyBorder="1" applyAlignment="1"/>
    <xf numFmtId="1" fontId="13" fillId="0" borderId="9" xfId="0" applyNumberFormat="1" applyFont="1" applyFill="1" applyBorder="1" applyAlignment="1"/>
    <xf numFmtId="1" fontId="21" fillId="4" borderId="0" xfId="1" applyNumberFormat="1" applyFont="1" applyFill="1" applyBorder="1" applyAlignment="1">
      <alignment horizontal="center"/>
    </xf>
    <xf numFmtId="1" fontId="21" fillId="4" borderId="0" xfId="1" applyNumberFormat="1" applyFont="1" applyFill="1" applyBorder="1" applyAlignment="1"/>
    <xf numFmtId="1" fontId="11" fillId="4" borderId="0" xfId="1" applyNumberFormat="1" applyFont="1" applyFill="1" applyBorder="1" applyAlignment="1">
      <alignment horizontal="center"/>
    </xf>
    <xf numFmtId="1" fontId="15" fillId="5" borderId="0" xfId="3" applyNumberFormat="1" applyFont="1" applyFill="1" applyBorder="1" applyAlignment="1" applyProtection="1"/>
    <xf numFmtId="1" fontId="16" fillId="0" borderId="0" xfId="0" applyNumberFormat="1" applyFont="1" applyFill="1" applyBorder="1"/>
    <xf numFmtId="1" fontId="13" fillId="0" borderId="9" xfId="0" applyNumberFormat="1" applyFont="1" applyFill="1" applyBorder="1"/>
    <xf numFmtId="1" fontId="16" fillId="0" borderId="9" xfId="0" applyNumberFormat="1" applyFont="1" applyFill="1" applyBorder="1"/>
    <xf numFmtId="1" fontId="21" fillId="0" borderId="0" xfId="0" applyNumberFormat="1" applyFont="1" applyFill="1" applyBorder="1"/>
    <xf numFmtId="0" fontId="16" fillId="3" borderId="9" xfId="3" applyNumberFormat="1" applyFont="1" applyFill="1" applyBorder="1" applyAlignment="1" applyProtection="1">
      <alignment horizontal="center"/>
    </xf>
    <xf numFmtId="0" fontId="21" fillId="3" borderId="12" xfId="3" applyNumberFormat="1" applyFont="1" applyFill="1" applyBorder="1" applyAlignment="1" applyProtection="1">
      <alignment horizontal="center"/>
    </xf>
    <xf numFmtId="1" fontId="15" fillId="5" borderId="0" xfId="3" applyNumberFormat="1" applyFont="1" applyFill="1" applyBorder="1" applyAlignment="1" applyProtection="1">
      <alignment horizontal="center"/>
    </xf>
    <xf numFmtId="0" fontId="13" fillId="0" borderId="3" xfId="0" applyFont="1" applyBorder="1"/>
    <xf numFmtId="3" fontId="16" fillId="2" borderId="0" xfId="0" applyNumberFormat="1" applyFont="1" applyFill="1" applyBorder="1" applyAlignment="1">
      <alignment horizontal="right"/>
    </xf>
    <xf numFmtId="3" fontId="13" fillId="0" borderId="0" xfId="0" applyNumberFormat="1" applyFont="1" applyFill="1" applyBorder="1"/>
    <xf numFmtId="0" fontId="13" fillId="0" borderId="10" xfId="0" applyFont="1" applyBorder="1"/>
    <xf numFmtId="3" fontId="13" fillId="0" borderId="9" xfId="0" applyNumberFormat="1" applyFont="1" applyFill="1" applyBorder="1" applyAlignment="1">
      <alignment horizontal="right"/>
    </xf>
    <xf numFmtId="3" fontId="13" fillId="0" borderId="9" xfId="0" applyNumberFormat="1" applyFont="1" applyFill="1" applyBorder="1"/>
    <xf numFmtId="0" fontId="21" fillId="0" borderId="2" xfId="3" applyNumberFormat="1" applyFont="1" applyFill="1" applyBorder="1" applyAlignment="1" applyProtection="1">
      <alignment horizontal="center"/>
    </xf>
    <xf numFmtId="3" fontId="15" fillId="0" borderId="0" xfId="0" applyNumberFormat="1" applyFont="1" applyFill="1" applyBorder="1"/>
    <xf numFmtId="1" fontId="11" fillId="4" borderId="0" xfId="1" applyNumberFormat="1" applyFont="1" applyFill="1" applyBorder="1" applyAlignment="1"/>
    <xf numFmtId="0" fontId="13" fillId="3" borderId="3" xfId="5" applyNumberFormat="1" applyFont="1" applyFill="1" applyBorder="1" applyAlignment="1" applyProtection="1">
      <alignment horizontal="left"/>
    </xf>
    <xf numFmtId="3" fontId="13" fillId="2" borderId="0" xfId="0" applyNumberFormat="1" applyFont="1" applyFill="1" applyBorder="1" applyAlignment="1"/>
    <xf numFmtId="3" fontId="13" fillId="0" borderId="0" xfId="0" applyNumberFormat="1" applyFont="1" applyFill="1" applyBorder="1" applyAlignment="1"/>
    <xf numFmtId="0" fontId="20" fillId="0" borderId="0" xfId="0" applyFont="1" applyBorder="1" applyAlignment="1">
      <alignment horizontal="right"/>
    </xf>
    <xf numFmtId="0" fontId="20" fillId="0" borderId="3" xfId="0" applyFont="1" applyBorder="1" applyAlignment="1">
      <alignment horizontal="right"/>
    </xf>
    <xf numFmtId="3" fontId="20" fillId="2" borderId="0" xfId="0" applyNumberFormat="1" applyFont="1" applyFill="1" applyBorder="1" applyAlignment="1">
      <alignment horizontal="right"/>
    </xf>
    <xf numFmtId="3" fontId="20" fillId="2" borderId="0" xfId="0" applyNumberFormat="1" applyFont="1" applyFill="1" applyBorder="1"/>
    <xf numFmtId="3" fontId="13" fillId="2" borderId="0" xfId="0" applyNumberFormat="1" applyFont="1" applyFill="1" applyBorder="1"/>
    <xf numFmtId="3" fontId="13" fillId="2" borderId="9" xfId="0" applyNumberFormat="1" applyFont="1" applyFill="1" applyBorder="1" applyAlignment="1"/>
    <xf numFmtId="3" fontId="13" fillId="2" borderId="9" xfId="0" applyNumberFormat="1" applyFont="1" applyFill="1" applyBorder="1"/>
    <xf numFmtId="0" fontId="17" fillId="3" borderId="3" xfId="5" applyNumberFormat="1" applyFont="1" applyFill="1" applyBorder="1" applyAlignment="1" applyProtection="1">
      <alignment horizontal="left"/>
    </xf>
    <xf numFmtId="3" fontId="13" fillId="0" borderId="0" xfId="0" applyNumberFormat="1" applyFont="1" applyBorder="1" applyAlignment="1"/>
    <xf numFmtId="9" fontId="13" fillId="0" borderId="0" xfId="10" applyNumberFormat="1" applyFont="1" applyBorder="1" applyAlignment="1"/>
    <xf numFmtId="9" fontId="13" fillId="0" borderId="0" xfId="10" applyFont="1" applyBorder="1" applyAlignment="1"/>
    <xf numFmtId="9" fontId="13" fillId="0" borderId="0" xfId="10" applyFont="1"/>
    <xf numFmtId="0" fontId="21" fillId="4" borderId="0" xfId="1" applyFont="1" applyFill="1" applyBorder="1" applyAlignment="1">
      <alignment horizontal="center"/>
    </xf>
    <xf numFmtId="0" fontId="23" fillId="3" borderId="3" xfId="5" applyNumberFormat="1" applyFont="1" applyFill="1" applyBorder="1" applyAlignment="1" applyProtection="1">
      <alignment horizontal="left"/>
    </xf>
    <xf numFmtId="1" fontId="16" fillId="0" borderId="0" xfId="0" applyNumberFormat="1" applyFont="1" applyFill="1" applyBorder="1" applyAlignment="1">
      <alignment horizontal="right"/>
    </xf>
    <xf numFmtId="0" fontId="21" fillId="4" borderId="3" xfId="1" applyFont="1" applyFill="1" applyBorder="1" applyAlignment="1">
      <alignment horizontal="center"/>
    </xf>
    <xf numFmtId="0" fontId="16" fillId="0" borderId="0" xfId="0" applyFont="1" applyFill="1" applyBorder="1"/>
    <xf numFmtId="0" fontId="16" fillId="0" borderId="3" xfId="3" applyNumberFormat="1" applyFont="1" applyFill="1" applyBorder="1" applyAlignment="1" applyProtection="1"/>
    <xf numFmtId="0" fontId="16" fillId="0" borderId="3" xfId="1" applyFont="1" applyFill="1" applyBorder="1" applyAlignment="1">
      <alignment horizontal="center"/>
    </xf>
    <xf numFmtId="4" fontId="16" fillId="3" borderId="0" xfId="4" applyNumberFormat="1" applyFont="1" applyFill="1" applyBorder="1" applyAlignment="1" applyProtection="1">
      <alignment horizontal="right"/>
    </xf>
    <xf numFmtId="4" fontId="16" fillId="3" borderId="0" xfId="4" applyNumberFormat="1" applyFont="1" applyFill="1" applyBorder="1" applyAlignment="1" applyProtection="1"/>
    <xf numFmtId="4" fontId="23" fillId="3" borderId="0" xfId="4" applyNumberFormat="1" applyFont="1" applyFill="1" applyBorder="1" applyAlignment="1" applyProtection="1"/>
    <xf numFmtId="4" fontId="23" fillId="3" borderId="0" xfId="4" applyNumberFormat="1" applyFont="1" applyFill="1" applyBorder="1" applyAlignment="1" applyProtection="1">
      <alignment horizontal="right"/>
    </xf>
    <xf numFmtId="4" fontId="23" fillId="3" borderId="0" xfId="4" applyNumberFormat="1" applyFont="1" applyFill="1" applyBorder="1" applyAlignment="1" applyProtection="1">
      <alignment horizontal="center"/>
    </xf>
    <xf numFmtId="0" fontId="11" fillId="4" borderId="3" xfId="1" applyFont="1" applyFill="1" applyBorder="1" applyAlignment="1">
      <alignment horizontal="center" wrapText="1"/>
    </xf>
    <xf numFmtId="0" fontId="13" fillId="0" borderId="0" xfId="0" applyFont="1"/>
    <xf numFmtId="0" fontId="15" fillId="0" borderId="8" xfId="5" applyNumberFormat="1" applyFont="1" applyFill="1" applyBorder="1" applyAlignment="1" applyProtection="1">
      <alignment horizontal="center"/>
    </xf>
    <xf numFmtId="0" fontId="15" fillId="0" borderId="2" xfId="3" applyNumberFormat="1" applyFont="1" applyFill="1" applyBorder="1" applyAlignment="1" applyProtection="1">
      <alignment horizontal="center" wrapText="1"/>
    </xf>
    <xf numFmtId="0" fontId="16" fillId="3" borderId="8" xfId="3" applyNumberFormat="1" applyFont="1" applyFill="1" applyBorder="1" applyAlignment="1" applyProtection="1">
      <alignment wrapText="1"/>
    </xf>
    <xf numFmtId="0" fontId="13" fillId="0" borderId="4" xfId="3" applyNumberFormat="1" applyFont="1" applyFill="1" applyBorder="1" applyAlignment="1" applyProtection="1">
      <alignment wrapText="1"/>
    </xf>
    <xf numFmtId="0" fontId="16" fillId="3" borderId="4" xfId="3" applyNumberFormat="1" applyFont="1" applyFill="1" applyBorder="1" applyAlignment="1" applyProtection="1">
      <alignment wrapText="1"/>
    </xf>
    <xf numFmtId="164" fontId="23" fillId="3" borderId="0" xfId="4" applyNumberFormat="1" applyFont="1" applyFill="1" applyBorder="1" applyAlignment="1" applyProtection="1">
      <alignment horizontal="center"/>
    </xf>
    <xf numFmtId="0" fontId="32" fillId="3" borderId="0" xfId="3" applyNumberFormat="1" applyFont="1" applyFill="1" applyBorder="1" applyAlignment="1" applyProtection="1"/>
    <xf numFmtId="0" fontId="32" fillId="3" borderId="0" xfId="3" applyNumberFormat="1" applyFont="1" applyFill="1" applyBorder="1" applyAlignment="1" applyProtection="1">
      <alignment horizontal="center" wrapText="1"/>
    </xf>
    <xf numFmtId="0" fontId="11" fillId="4" borderId="0" xfId="1" applyFont="1" applyFill="1" applyBorder="1" applyAlignment="1">
      <alignment horizontal="center"/>
    </xf>
    <xf numFmtId="0" fontId="33" fillId="0" borderId="0" xfId="8" applyNumberFormat="1" applyFont="1" applyFill="1" applyBorder="1" applyAlignment="1" applyProtection="1"/>
    <xf numFmtId="3" fontId="33" fillId="0" borderId="0" xfId="8" applyNumberFormat="1" applyFont="1" applyFill="1" applyBorder="1" applyAlignment="1" applyProtection="1"/>
    <xf numFmtId="0" fontId="20" fillId="0" borderId="0" xfId="0" applyFont="1"/>
    <xf numFmtId="0" fontId="20" fillId="0" borderId="0" xfId="0" applyFont="1" applyFill="1" applyBorder="1" applyAlignment="1">
      <alignment wrapText="1"/>
    </xf>
    <xf numFmtId="0" fontId="20" fillId="0" borderId="0" xfId="0" applyFont="1" applyBorder="1" applyAlignment="1">
      <alignment wrapText="1"/>
    </xf>
    <xf numFmtId="0" fontId="34" fillId="0" borderId="0" xfId="3" applyNumberFormat="1" applyFont="1" applyFill="1" applyBorder="1" applyAlignment="1" applyProtection="1">
      <alignment wrapText="1"/>
    </xf>
    <xf numFmtId="0" fontId="34" fillId="3" borderId="0" xfId="3" applyNumberFormat="1" applyFont="1" applyFill="1" applyBorder="1" applyAlignment="1" applyProtection="1"/>
    <xf numFmtId="0" fontId="34" fillId="3" borderId="0" xfId="3" applyNumberFormat="1" applyFont="1" applyFill="1" applyBorder="1" applyAlignment="1" applyProtection="1">
      <alignment horizontal="center"/>
    </xf>
    <xf numFmtId="164" fontId="18" fillId="3" borderId="0" xfId="4" applyNumberFormat="1" applyFont="1" applyFill="1" applyBorder="1" applyAlignment="1" applyProtection="1">
      <alignment horizontal="right"/>
    </xf>
    <xf numFmtId="164" fontId="18" fillId="0" borderId="0" xfId="4" applyNumberFormat="1" applyFont="1" applyFill="1" applyBorder="1" applyAlignment="1" applyProtection="1">
      <alignment horizontal="right"/>
    </xf>
    <xf numFmtId="0" fontId="34" fillId="0" borderId="0" xfId="3" applyNumberFormat="1" applyFont="1" applyFill="1" applyBorder="1" applyAlignment="1" applyProtection="1"/>
    <xf numFmtId="164" fontId="23" fillId="3" borderId="0" xfId="4" applyNumberFormat="1" applyFont="1" applyFill="1" applyBorder="1" applyAlignment="1" applyProtection="1">
      <alignment horizontal="right"/>
    </xf>
    <xf numFmtId="0" fontId="16" fillId="3" borderId="3" xfId="5" applyNumberFormat="1" applyFont="1" applyFill="1" applyBorder="1" applyAlignment="1" applyProtection="1"/>
    <xf numFmtId="0" fontId="16" fillId="0" borderId="2" xfId="9" applyFont="1" applyBorder="1" applyAlignment="1">
      <alignment horizontal="center"/>
    </xf>
    <xf numFmtId="3" fontId="16" fillId="2" borderId="0" xfId="6" applyNumberFormat="1" applyFont="1" applyFill="1" applyBorder="1" applyAlignment="1" applyProtection="1">
      <alignment horizontal="right"/>
    </xf>
    <xf numFmtId="0" fontId="15" fillId="2" borderId="0" xfId="0" applyFont="1" applyFill="1" applyBorder="1"/>
    <xf numFmtId="0" fontId="22" fillId="3" borderId="3" xfId="5" applyNumberFormat="1" applyFont="1" applyFill="1" applyBorder="1" applyAlignment="1" applyProtection="1">
      <alignment horizontal="right"/>
    </xf>
    <xf numFmtId="3" fontId="22" fillId="2" borderId="0" xfId="6" applyNumberFormat="1" applyFont="1" applyFill="1" applyBorder="1" applyAlignment="1" applyProtection="1">
      <alignment horizontal="right"/>
    </xf>
    <xf numFmtId="3" fontId="23" fillId="2" borderId="0" xfId="6" applyNumberFormat="1" applyFont="1" applyFill="1" applyBorder="1" applyAlignment="1" applyProtection="1">
      <alignment horizontal="right"/>
    </xf>
    <xf numFmtId="0" fontId="27" fillId="2" borderId="0" xfId="0" applyFont="1" applyFill="1" applyBorder="1"/>
    <xf numFmtId="0" fontId="27" fillId="2" borderId="0" xfId="0" applyFont="1" applyFill="1" applyBorder="1" applyAlignment="1">
      <alignment horizontal="right"/>
    </xf>
    <xf numFmtId="3" fontId="22" fillId="0" borderId="0" xfId="6" applyNumberFormat="1" applyFont="1" applyFill="1" applyBorder="1" applyAlignment="1" applyProtection="1">
      <alignment horizontal="right"/>
    </xf>
    <xf numFmtId="0" fontId="23" fillId="3" borderId="3" xfId="5" applyNumberFormat="1" applyFont="1" applyFill="1" applyBorder="1" applyAlignment="1" applyProtection="1"/>
    <xf numFmtId="0" fontId="23" fillId="3" borderId="10" xfId="5" applyNumberFormat="1" applyFont="1" applyFill="1" applyBorder="1" applyAlignment="1" applyProtection="1"/>
    <xf numFmtId="0" fontId="23" fillId="3" borderId="10" xfId="5" applyNumberFormat="1" applyFont="1" applyFill="1" applyBorder="1" applyAlignment="1" applyProtection="1">
      <alignment horizontal="center"/>
    </xf>
    <xf numFmtId="3" fontId="23" fillId="2" borderId="9" xfId="6" applyNumberFormat="1" applyFont="1" applyFill="1" applyBorder="1" applyAlignment="1" applyProtection="1">
      <alignment horizontal="right"/>
    </xf>
    <xf numFmtId="3" fontId="16" fillId="2" borderId="9" xfId="6" applyNumberFormat="1" applyFont="1" applyFill="1" applyBorder="1" applyAlignment="1" applyProtection="1">
      <alignment horizontal="right"/>
    </xf>
    <xf numFmtId="0" fontId="17" fillId="3" borderId="3" xfId="5" applyNumberFormat="1" applyFont="1" applyFill="1" applyBorder="1" applyAlignment="1" applyProtection="1"/>
    <xf numFmtId="0" fontId="35" fillId="3" borderId="2" xfId="3" applyNumberFormat="1" applyFont="1" applyFill="1" applyBorder="1" applyAlignment="1" applyProtection="1">
      <alignment horizontal="center"/>
    </xf>
    <xf numFmtId="3" fontId="17" fillId="2" borderId="0" xfId="6" applyNumberFormat="1" applyFont="1" applyFill="1" applyBorder="1" applyAlignment="1" applyProtection="1">
      <alignment horizontal="right"/>
    </xf>
    <xf numFmtId="3" fontId="21" fillId="2" borderId="0" xfId="6" applyNumberFormat="1" applyFont="1" applyFill="1" applyBorder="1" applyAlignment="1" applyProtection="1">
      <alignment horizontal="right"/>
    </xf>
    <xf numFmtId="9" fontId="13" fillId="2" borderId="0" xfId="10" applyFont="1" applyFill="1" applyBorder="1" applyAlignment="1">
      <alignment horizontal="right"/>
    </xf>
    <xf numFmtId="9" fontId="16" fillId="2" borderId="0" xfId="10" applyFont="1" applyFill="1" applyBorder="1" applyAlignment="1">
      <alignment horizontal="right"/>
    </xf>
    <xf numFmtId="9" fontId="16" fillId="2" borderId="0" xfId="10" applyNumberFormat="1" applyFont="1" applyFill="1" applyBorder="1"/>
    <xf numFmtId="9" fontId="16" fillId="0" borderId="0" xfId="10" applyNumberFormat="1" applyFont="1" applyFill="1" applyBorder="1"/>
    <xf numFmtId="9" fontId="13" fillId="2" borderId="0" xfId="10" applyNumberFormat="1" applyFont="1" applyFill="1" applyBorder="1"/>
    <xf numFmtId="167" fontId="13" fillId="2" borderId="0" xfId="10" applyNumberFormat="1" applyFont="1" applyFill="1" applyBorder="1"/>
    <xf numFmtId="0" fontId="21" fillId="5" borderId="3" xfId="3" applyNumberFormat="1" applyFont="1" applyFill="1" applyBorder="1" applyAlignment="1" applyProtection="1"/>
    <xf numFmtId="0" fontId="23" fillId="2" borderId="3" xfId="5" applyNumberFormat="1" applyFont="1" applyFill="1" applyBorder="1" applyAlignment="1" applyProtection="1">
      <alignment horizontal="left"/>
    </xf>
    <xf numFmtId="0" fontId="16" fillId="3" borderId="3" xfId="3" applyNumberFormat="1" applyFont="1" applyFill="1" applyBorder="1" applyAlignment="1" applyProtection="1">
      <alignment horizontal="center"/>
    </xf>
    <xf numFmtId="9" fontId="13" fillId="0" borderId="0" xfId="10" applyNumberFormat="1" applyFont="1" applyFill="1" applyBorder="1"/>
    <xf numFmtId="0" fontId="18" fillId="2" borderId="3" xfId="5" applyNumberFormat="1" applyFont="1" applyFill="1" applyBorder="1" applyAlignment="1" applyProtection="1">
      <alignment horizontal="left"/>
    </xf>
    <xf numFmtId="9" fontId="20" fillId="0" borderId="0" xfId="10" applyNumberFormat="1" applyFont="1" applyFill="1" applyBorder="1"/>
    <xf numFmtId="9" fontId="20" fillId="0" borderId="0" xfId="10" applyNumberFormat="1" applyFont="1" applyFill="1" applyBorder="1" applyAlignment="1">
      <alignment horizontal="right"/>
    </xf>
    <xf numFmtId="167" fontId="16" fillId="2" borderId="0" xfId="10" applyNumberFormat="1" applyFont="1" applyFill="1" applyBorder="1"/>
    <xf numFmtId="167" fontId="16" fillId="0" borderId="0" xfId="10" applyNumberFormat="1" applyFont="1" applyFill="1" applyBorder="1"/>
    <xf numFmtId="167" fontId="13" fillId="0" borderId="0" xfId="10" applyNumberFormat="1" applyFont="1" applyFill="1" applyBorder="1"/>
    <xf numFmtId="0" fontId="16" fillId="0" borderId="3" xfId="3" applyNumberFormat="1" applyFont="1" applyFill="1" applyBorder="1" applyAlignment="1" applyProtection="1">
      <alignment horizontal="center"/>
    </xf>
    <xf numFmtId="165" fontId="16" fillId="0" borderId="0" xfId="0" applyNumberFormat="1" applyFont="1" applyFill="1" applyBorder="1"/>
    <xf numFmtId="165" fontId="13" fillId="0" borderId="0" xfId="0" applyNumberFormat="1" applyFont="1" applyFill="1" applyBorder="1"/>
    <xf numFmtId="166" fontId="16" fillId="0" borderId="0" xfId="0" applyNumberFormat="1" applyFont="1" applyFill="1" applyBorder="1"/>
    <xf numFmtId="166" fontId="13" fillId="0" borderId="0" xfId="0" applyNumberFormat="1" applyFont="1" applyFill="1" applyBorder="1"/>
    <xf numFmtId="0" fontId="16" fillId="3" borderId="3" xfId="3" applyNumberFormat="1" applyFont="1" applyFill="1" applyBorder="1" applyAlignment="1" applyProtection="1"/>
    <xf numFmtId="9" fontId="16" fillId="2" borderId="0" xfId="10" applyFont="1" applyFill="1" applyBorder="1"/>
    <xf numFmtId="9" fontId="16" fillId="0" borderId="0" xfId="10" applyFont="1" applyFill="1" applyBorder="1"/>
    <xf numFmtId="9" fontId="13" fillId="2" borderId="0" xfId="10" applyFont="1" applyFill="1" applyBorder="1"/>
    <xf numFmtId="0" fontId="15" fillId="5" borderId="3" xfId="3" applyNumberFormat="1" applyFont="1" applyFill="1" applyBorder="1" applyAlignment="1" applyProtection="1"/>
    <xf numFmtId="0" fontId="13" fillId="0" borderId="3" xfId="9" quotePrefix="1" applyFont="1" applyBorder="1" applyAlignment="1">
      <alignment horizontal="center"/>
    </xf>
    <xf numFmtId="165" fontId="13" fillId="2" borderId="0" xfId="0" applyNumberFormat="1" applyFont="1" applyFill="1" applyBorder="1"/>
    <xf numFmtId="1" fontId="13" fillId="2" borderId="0" xfId="0" applyNumberFormat="1" applyFont="1" applyFill="1" applyBorder="1"/>
    <xf numFmtId="1" fontId="13" fillId="0" borderId="0" xfId="0" applyNumberFormat="1" applyFont="1" applyFill="1" applyBorder="1"/>
    <xf numFmtId="3" fontId="16" fillId="0" borderId="0" xfId="0" applyNumberFormat="1" applyFont="1" applyFill="1" applyBorder="1"/>
    <xf numFmtId="3" fontId="16" fillId="0" borderId="0" xfId="6" applyNumberFormat="1" applyFont="1" applyFill="1" applyBorder="1" applyAlignment="1" applyProtection="1">
      <alignment horizontal="right"/>
    </xf>
    <xf numFmtId="3" fontId="13" fillId="0" borderId="0" xfId="6" applyNumberFormat="1" applyFont="1" applyFill="1" applyBorder="1" applyAlignment="1" applyProtection="1">
      <alignment horizontal="right"/>
    </xf>
    <xf numFmtId="0" fontId="16" fillId="0" borderId="10" xfId="3" applyNumberFormat="1" applyFont="1" applyFill="1" applyBorder="1" applyAlignment="1" applyProtection="1">
      <alignment horizontal="center"/>
    </xf>
    <xf numFmtId="3" fontId="16" fillId="0" borderId="9" xfId="0" applyNumberFormat="1" applyFont="1" applyFill="1" applyBorder="1"/>
    <xf numFmtId="3" fontId="16" fillId="0" borderId="9" xfId="6" applyNumberFormat="1" applyFont="1" applyFill="1" applyBorder="1" applyAlignment="1" applyProtection="1">
      <alignment horizontal="right"/>
    </xf>
    <xf numFmtId="3" fontId="13" fillId="0" borderId="9" xfId="6" applyNumberFormat="1" applyFont="1" applyFill="1" applyBorder="1" applyAlignment="1" applyProtection="1">
      <alignment horizontal="right"/>
    </xf>
    <xf numFmtId="0" fontId="21" fillId="0" borderId="3" xfId="3" applyNumberFormat="1" applyFont="1" applyFill="1" applyBorder="1" applyAlignment="1" applyProtection="1">
      <alignment horizontal="center"/>
    </xf>
    <xf numFmtId="3" fontId="21" fillId="0" borderId="0" xfId="6" applyNumberFormat="1" applyFont="1" applyFill="1" applyBorder="1" applyAlignment="1" applyProtection="1">
      <alignment horizontal="right"/>
    </xf>
    <xf numFmtId="3" fontId="15" fillId="0" borderId="0" xfId="6" applyNumberFormat="1" applyFont="1" applyFill="1" applyBorder="1" applyAlignment="1" applyProtection="1">
      <alignment horizontal="right"/>
    </xf>
    <xf numFmtId="0" fontId="15" fillId="4" borderId="0" xfId="1" applyFont="1" applyFill="1" applyBorder="1" applyAlignment="1"/>
    <xf numFmtId="0" fontId="16" fillId="3" borderId="2" xfId="3" applyNumberFormat="1" applyFont="1" applyFill="1" applyBorder="1" applyAlignment="1" applyProtection="1">
      <alignment horizontal="center" wrapText="1"/>
    </xf>
    <xf numFmtId="4" fontId="13" fillId="2" borderId="0" xfId="0" applyNumberFormat="1" applyFont="1" applyFill="1" applyBorder="1" applyAlignment="1">
      <alignment horizontal="right"/>
    </xf>
    <xf numFmtId="0" fontId="18" fillId="3" borderId="3" xfId="5" applyNumberFormat="1" applyFont="1" applyFill="1" applyBorder="1" applyAlignment="1" applyProtection="1">
      <alignment horizontal="left"/>
    </xf>
    <xf numFmtId="0" fontId="20" fillId="2" borderId="0" xfId="0" applyFont="1" applyFill="1" applyBorder="1"/>
    <xf numFmtId="3" fontId="20" fillId="0" borderId="0" xfId="0" applyNumberFormat="1" applyFont="1" applyFill="1" applyBorder="1"/>
    <xf numFmtId="3" fontId="13" fillId="2" borderId="0" xfId="0" applyNumberFormat="1" applyFont="1" applyFill="1" applyBorder="1" applyAlignment="1">
      <alignment horizontal="right"/>
    </xf>
    <xf numFmtId="9" fontId="20" fillId="2" borderId="0" xfId="10" applyFont="1" applyFill="1" applyBorder="1" applyAlignment="1">
      <alignment horizontal="right"/>
    </xf>
    <xf numFmtId="3" fontId="20" fillId="0" borderId="0" xfId="0" applyNumberFormat="1" applyFont="1" applyFill="1" applyBorder="1" applyAlignment="1">
      <alignment horizontal="right"/>
    </xf>
    <xf numFmtId="0" fontId="23" fillId="3" borderId="3" xfId="5" applyNumberFormat="1" applyFont="1" applyFill="1" applyBorder="1" applyAlignment="1" applyProtection="1">
      <alignment horizontal="left" wrapText="1"/>
    </xf>
    <xf numFmtId="0" fontId="16" fillId="0" borderId="2" xfId="1" applyFont="1" applyFill="1" applyBorder="1" applyAlignment="1">
      <alignment horizontal="center"/>
    </xf>
    <xf numFmtId="4" fontId="13" fillId="3" borderId="0" xfId="4" applyNumberFormat="1" applyFont="1" applyFill="1" applyBorder="1" applyAlignment="1" applyProtection="1">
      <alignment horizontal="right"/>
    </xf>
    <xf numFmtId="0" fontId="23" fillId="3" borderId="0" xfId="5" applyNumberFormat="1" applyFont="1" applyFill="1" applyBorder="1" applyAlignment="1" applyProtection="1">
      <alignment horizontal="left"/>
    </xf>
    <xf numFmtId="0" fontId="32" fillId="0" borderId="0" xfId="3" applyNumberFormat="1" applyFont="1" applyFill="1" applyBorder="1" applyAlignment="1" applyProtection="1">
      <alignment horizontal="center"/>
    </xf>
    <xf numFmtId="0" fontId="21" fillId="0" borderId="0" xfId="1" applyFont="1" applyFill="1" applyBorder="1" applyAlignment="1"/>
    <xf numFmtId="0" fontId="34" fillId="3" borderId="0" xfId="3" applyNumberFormat="1" applyFont="1" applyFill="1" applyBorder="1" applyAlignment="1" applyProtection="1">
      <alignment horizontal="left" wrapText="1"/>
    </xf>
    <xf numFmtId="0" fontId="33" fillId="3" borderId="0" xfId="8" applyNumberFormat="1" applyFont="1" applyFill="1" applyBorder="1" applyAlignment="1" applyProtection="1"/>
    <xf numFmtId="0" fontId="33" fillId="0" borderId="0" xfId="8" applyNumberFormat="1" applyFont="1" applyFill="1" applyBorder="1" applyAlignment="1" applyProtection="1">
      <alignment horizontal="left" wrapText="1"/>
    </xf>
    <xf numFmtId="0" fontId="33" fillId="0" borderId="0" xfId="8" applyNumberFormat="1" applyFont="1" applyFill="1" applyBorder="1" applyAlignment="1" applyProtection="1">
      <alignment horizontal="left" wrapText="1"/>
    </xf>
    <xf numFmtId="0" fontId="13" fillId="0" borderId="0" xfId="0" applyFont="1" applyBorder="1" applyAlignment="1">
      <alignment horizontal="left"/>
    </xf>
    <xf numFmtId="0" fontId="33" fillId="0" borderId="0" xfId="8" applyFont="1"/>
    <xf numFmtId="0" fontId="35" fillId="3" borderId="0" xfId="3" applyNumberFormat="1" applyFont="1" applyFill="1" applyBorder="1" applyAlignment="1" applyProtection="1"/>
    <xf numFmtId="0" fontId="34" fillId="0" borderId="0" xfId="3" applyNumberFormat="1" applyFont="1" applyFill="1" applyBorder="1" applyAlignment="1" applyProtection="1">
      <alignment horizontal="center"/>
    </xf>
    <xf numFmtId="0" fontId="34" fillId="3" borderId="0" xfId="3" applyNumberFormat="1" applyFont="1" applyFill="1" applyBorder="1" applyAlignment="1" applyProtection="1">
      <alignment horizontal="left" wrapText="1"/>
    </xf>
    <xf numFmtId="0" fontId="20" fillId="0" borderId="0" xfId="0" applyFont="1" applyBorder="1" applyAlignment="1">
      <alignment horizontal="left" wrapText="1"/>
    </xf>
    <xf numFmtId="0" fontId="20" fillId="0" borderId="0" xfId="0" applyFont="1" applyBorder="1" applyAlignment="1">
      <alignment horizontal="left"/>
    </xf>
    <xf numFmtId="0" fontId="20" fillId="0" borderId="0" xfId="0" applyFont="1" applyBorder="1" applyAlignment="1">
      <alignment horizontal="left" vertical="top" wrapText="1"/>
    </xf>
    <xf numFmtId="0" fontId="13" fillId="0" borderId="3" xfId="9" applyFont="1" applyBorder="1"/>
    <xf numFmtId="0" fontId="13" fillId="0" borderId="2" xfId="9" applyFont="1" applyBorder="1" applyAlignment="1">
      <alignment horizontal="center"/>
    </xf>
    <xf numFmtId="0" fontId="13" fillId="0" borderId="0" xfId="9" applyFont="1" applyBorder="1"/>
    <xf numFmtId="0" fontId="20" fillId="0" borderId="3" xfId="9" applyFont="1" applyBorder="1"/>
    <xf numFmtId="0" fontId="20" fillId="0" borderId="2" xfId="9" applyFont="1" applyBorder="1" applyAlignment="1">
      <alignment horizontal="center"/>
    </xf>
    <xf numFmtId="9" fontId="20" fillId="0" borderId="0" xfId="9" applyNumberFormat="1" applyFont="1" applyBorder="1"/>
    <xf numFmtId="167" fontId="20" fillId="0" borderId="0" xfId="9" applyNumberFormat="1" applyFont="1" applyBorder="1"/>
    <xf numFmtId="0" fontId="13" fillId="0" borderId="0" xfId="9" applyFont="1" applyFill="1" applyBorder="1"/>
    <xf numFmtId="0" fontId="13" fillId="2" borderId="2" xfId="9" applyFont="1" applyFill="1" applyBorder="1" applyAlignment="1">
      <alignment horizontal="center"/>
    </xf>
    <xf numFmtId="0" fontId="20" fillId="2" borderId="0" xfId="9" applyFont="1" applyFill="1" applyBorder="1"/>
    <xf numFmtId="0" fontId="20" fillId="2" borderId="3" xfId="9" applyFont="1" applyFill="1" applyBorder="1"/>
    <xf numFmtId="0" fontId="13" fillId="2" borderId="0" xfId="9" applyFont="1" applyFill="1" applyBorder="1"/>
    <xf numFmtId="0" fontId="13" fillId="2" borderId="3" xfId="9" applyFont="1" applyFill="1" applyBorder="1"/>
    <xf numFmtId="0" fontId="13" fillId="0" borderId="0" xfId="9" applyFont="1" applyFill="1" applyBorder="1" applyAlignment="1">
      <alignment horizontal="right"/>
    </xf>
    <xf numFmtId="0" fontId="15" fillId="5" borderId="0" xfId="3" applyNumberFormat="1" applyFont="1" applyFill="1" applyBorder="1" applyAlignment="1" applyProtection="1">
      <alignment horizontal="right"/>
    </xf>
    <xf numFmtId="0" fontId="16" fillId="2" borderId="0" xfId="2" applyFont="1" applyFill="1" applyBorder="1" applyAlignment="1">
      <alignment horizontal="right"/>
    </xf>
    <xf numFmtId="0" fontId="13" fillId="2" borderId="0" xfId="9" applyFont="1" applyFill="1" applyBorder="1" applyAlignment="1">
      <alignment horizontal="right"/>
    </xf>
    <xf numFmtId="0" fontId="22" fillId="2" borderId="0" xfId="2" applyFont="1" applyFill="1" applyBorder="1" applyAlignment="1">
      <alignment horizontal="right"/>
    </xf>
    <xf numFmtId="0" fontId="16" fillId="2" borderId="2" xfId="2" applyFont="1" applyFill="1" applyBorder="1" applyAlignment="1">
      <alignment horizontal="center"/>
    </xf>
    <xf numFmtId="9" fontId="13" fillId="0" borderId="0" xfId="9" applyNumberFormat="1" applyFont="1" applyBorder="1" applyAlignment="1">
      <alignment horizontal="right"/>
    </xf>
    <xf numFmtId="9" fontId="13" fillId="0" borderId="0" xfId="9" applyNumberFormat="1" applyFont="1" applyBorder="1"/>
    <xf numFmtId="0" fontId="13" fillId="2" borderId="3" xfId="9" applyFont="1" applyFill="1" applyBorder="1" applyAlignment="1">
      <alignment horizontal="left"/>
    </xf>
    <xf numFmtId="0" fontId="15" fillId="5" borderId="3" xfId="5" applyNumberFormat="1" applyFont="1" applyFill="1" applyBorder="1" applyAlignment="1" applyProtection="1">
      <alignment wrapText="1"/>
    </xf>
    <xf numFmtId="9" fontId="13" fillId="2" borderId="0" xfId="9" applyNumberFormat="1" applyFont="1" applyFill="1" applyBorder="1"/>
    <xf numFmtId="3" fontId="23" fillId="3" borderId="0" xfId="7" applyNumberFormat="1" applyFont="1" applyFill="1" applyBorder="1" applyAlignment="1" applyProtection="1">
      <alignment horizontal="right"/>
    </xf>
    <xf numFmtId="0" fontId="11" fillId="4" borderId="3" xfId="1" applyFont="1" applyFill="1" applyBorder="1" applyAlignment="1">
      <alignment horizontal="center"/>
    </xf>
    <xf numFmtId="0" fontId="32" fillId="0" borderId="3" xfId="3" applyNumberFormat="1" applyFont="1" applyFill="1" applyBorder="1" applyAlignment="1" applyProtection="1"/>
    <xf numFmtId="164" fontId="16" fillId="0" borderId="0" xfId="1" applyNumberFormat="1" applyFont="1" applyFill="1" applyBorder="1" applyAlignment="1">
      <alignment horizontal="right"/>
    </xf>
    <xf numFmtId="3" fontId="23" fillId="0" borderId="3" xfId="7" applyNumberFormat="1" applyFont="1" applyFill="1" applyBorder="1" applyAlignment="1" applyProtection="1">
      <alignment horizontal="center"/>
    </xf>
    <xf numFmtId="9" fontId="23" fillId="0" borderId="0" xfId="10" applyFont="1" applyFill="1" applyBorder="1" applyAlignment="1" applyProtection="1">
      <alignment horizontal="right"/>
    </xf>
    <xf numFmtId="9" fontId="13" fillId="0" borderId="0" xfId="10" applyFont="1" applyFill="1" applyBorder="1"/>
    <xf numFmtId="0" fontId="13" fillId="2" borderId="3" xfId="9" applyFont="1" applyFill="1" applyBorder="1" applyAlignment="1">
      <alignment horizontal="center"/>
    </xf>
    <xf numFmtId="3" fontId="16" fillId="0" borderId="0" xfId="1" applyNumberFormat="1" applyFont="1" applyFill="1" applyBorder="1" applyAlignment="1">
      <alignment horizontal="right"/>
    </xf>
    <xf numFmtId="0" fontId="13" fillId="2" borderId="0" xfId="9" applyFont="1" applyFill="1" applyBorder="1" applyAlignment="1">
      <alignment horizontal="center"/>
    </xf>
    <xf numFmtId="14" fontId="11" fillId="0" borderId="0" xfId="1" applyNumberFormat="1" applyFont="1" applyFill="1" applyBorder="1" applyAlignment="1">
      <alignment horizontal="center"/>
    </xf>
    <xf numFmtId="0" fontId="33" fillId="2" borderId="0" xfId="8" applyFont="1" applyFill="1" applyBorder="1" applyAlignment="1">
      <alignment wrapText="1"/>
    </xf>
    <xf numFmtId="0" fontId="11" fillId="2" borderId="0" xfId="1" applyFont="1" applyFill="1" applyBorder="1" applyAlignment="1">
      <alignment wrapText="1"/>
    </xf>
    <xf numFmtId="0" fontId="33" fillId="2" borderId="0" xfId="8" applyNumberFormat="1" applyFont="1" applyFill="1" applyBorder="1" applyAlignment="1" applyProtection="1"/>
    <xf numFmtId="0" fontId="33" fillId="2" borderId="0" xfId="8" applyNumberFormat="1" applyFont="1" applyFill="1" applyBorder="1" applyAlignment="1" applyProtection="1">
      <alignment wrapText="1"/>
    </xf>
    <xf numFmtId="0" fontId="33" fillId="2" borderId="0" xfId="8" applyFont="1" applyFill="1" applyBorder="1" applyAlignment="1">
      <alignment wrapText="1"/>
    </xf>
    <xf numFmtId="0" fontId="11" fillId="2" borderId="0" xfId="1" applyFont="1" applyFill="1" applyBorder="1" applyAlignment="1">
      <alignment wrapText="1"/>
    </xf>
    <xf numFmtId="0" fontId="13" fillId="2" borderId="0" xfId="9" applyFont="1" applyFill="1" applyBorder="1" applyAlignment="1">
      <alignment wrapText="1"/>
    </xf>
    <xf numFmtId="0" fontId="37" fillId="2" borderId="0" xfId="8" applyNumberFormat="1" applyFont="1" applyFill="1" applyBorder="1" applyAlignment="1" applyProtection="1">
      <alignment wrapText="1"/>
    </xf>
    <xf numFmtId="0" fontId="38" fillId="2" borderId="0" xfId="9" applyFont="1" applyFill="1" applyBorder="1" applyAlignment="1">
      <alignment wrapText="1"/>
    </xf>
    <xf numFmtId="0" fontId="35" fillId="0" borderId="0" xfId="3" applyNumberFormat="1" applyFont="1" applyFill="1" applyBorder="1" applyAlignment="1" applyProtection="1"/>
    <xf numFmtId="0" fontId="20" fillId="0" borderId="0" xfId="9" applyFont="1" applyFill="1" applyBorder="1"/>
    <xf numFmtId="0" fontId="16" fillId="2" borderId="0" xfId="1" applyFont="1" applyFill="1"/>
    <xf numFmtId="0" fontId="16" fillId="2" borderId="0" xfId="1" applyFont="1" applyFill="1" applyBorder="1"/>
    <xf numFmtId="0" fontId="39" fillId="2" borderId="0" xfId="1" applyFont="1" applyFill="1"/>
    <xf numFmtId="0" fontId="40" fillId="4" borderId="0" xfId="1" applyFont="1" applyFill="1"/>
    <xf numFmtId="0" fontId="41" fillId="4" borderId="0" xfId="1" applyFont="1" applyFill="1"/>
    <xf numFmtId="0" fontId="16" fillId="0" borderId="0" xfId="1" applyFont="1" applyFill="1"/>
    <xf numFmtId="0" fontId="39" fillId="0" borderId="0" xfId="1" applyFont="1" applyFill="1"/>
    <xf numFmtId="0" fontId="42" fillId="2" borderId="0" xfId="1" applyFont="1" applyFill="1"/>
    <xf numFmtId="49" fontId="16" fillId="2" borderId="0" xfId="1" applyNumberFormat="1" applyFont="1" applyFill="1"/>
    <xf numFmtId="0" fontId="21" fillId="2" borderId="0" xfId="1" applyFont="1" applyFill="1"/>
    <xf numFmtId="0" fontId="43" fillId="4" borderId="0" xfId="1" applyFont="1" applyFill="1"/>
    <xf numFmtId="0" fontId="44" fillId="2" borderId="0" xfId="0" applyFont="1" applyFill="1" applyBorder="1" applyAlignment="1">
      <alignment horizontal="right" vertical="center" wrapText="1"/>
    </xf>
    <xf numFmtId="0" fontId="33" fillId="5" borderId="7" xfId="8" applyFont="1" applyFill="1" applyBorder="1" applyAlignment="1">
      <alignment horizontal="left" vertical="center"/>
    </xf>
    <xf numFmtId="0" fontId="33" fillId="5" borderId="5" xfId="8" applyFont="1" applyFill="1" applyBorder="1" applyAlignment="1">
      <alignment horizontal="left" vertical="center"/>
    </xf>
    <xf numFmtId="0" fontId="33" fillId="5" borderId="6" xfId="8" applyFont="1" applyFill="1" applyBorder="1" applyAlignment="1">
      <alignment horizontal="left" vertical="center"/>
    </xf>
    <xf numFmtId="0" fontId="16" fillId="0" borderId="0" xfId="0" applyFont="1"/>
    <xf numFmtId="0" fontId="44" fillId="0" borderId="0" xfId="0" applyFont="1" applyBorder="1" applyAlignment="1">
      <alignment horizontal="right" vertical="center"/>
    </xf>
    <xf numFmtId="0" fontId="43" fillId="4" borderId="0" xfId="1" applyFont="1" applyFill="1" applyBorder="1"/>
    <xf numFmtId="0" fontId="10" fillId="2" borderId="0" xfId="9" applyFont="1" applyFill="1" applyAlignment="1">
      <alignment horizontal="left" vertical="top"/>
    </xf>
    <xf numFmtId="0" fontId="39" fillId="2" borderId="0" xfId="1" applyFont="1" applyFill="1" applyBorder="1"/>
    <xf numFmtId="0" fontId="33" fillId="2" borderId="0" xfId="8" applyFont="1" applyFill="1"/>
    <xf numFmtId="0" fontId="45" fillId="2" borderId="0" xfId="1" applyFont="1" applyFill="1"/>
    <xf numFmtId="0" fontId="46" fillId="2" borderId="0" xfId="1" applyFont="1" applyFill="1" applyBorder="1"/>
    <xf numFmtId="0" fontId="47" fillId="0" borderId="0" xfId="0" applyFont="1"/>
    <xf numFmtId="0" fontId="48" fillId="0" borderId="0" xfId="0" applyFont="1"/>
  </cellXfs>
  <cellStyles count="11">
    <cellStyle name="fa_column_header_empty" xfId="2"/>
    <cellStyle name="fa_data_bold_1_grouped" xfId="6"/>
    <cellStyle name="fa_data_standard_0_grouped" xfId="7"/>
    <cellStyle name="fa_data_standard_1_grouped" xfId="4"/>
    <cellStyle name="fa_row_header_bold 2" xfId="5"/>
    <cellStyle name="fa_row_header_standard 2" xfId="3"/>
    <cellStyle name="Гиперссылка" xfId="8" builtinId="8"/>
    <cellStyle name="Обычный" xfId="0" builtinId="0"/>
    <cellStyle name="Обычный 2" xfId="1"/>
    <cellStyle name="Обычный 3" xfId="9"/>
    <cellStyle name="Процентный" xfId="10" builtinId="5"/>
  </cellStyles>
  <dxfs count="0"/>
  <tableStyles count="0" defaultTableStyle="TableStyleMedium2" defaultPivotStyle="PivotStyleLight16"/>
  <colors>
    <mruColors>
      <color rgb="FF2176C3"/>
      <color rgb="FF2175C1"/>
      <color rgb="FF0099FF"/>
      <color rgb="FF207DCF"/>
      <color rgb="FF336699"/>
      <color rgb="FF6D94C3"/>
      <color rgb="FF5B9BD5"/>
      <color rgb="FF0099CC"/>
      <color rgb="FF3399FF"/>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38100</xdr:colOff>
      <xdr:row>3</xdr:row>
      <xdr:rowOff>76200</xdr:rowOff>
    </xdr:from>
    <xdr:to>
      <xdr:col>15</xdr:col>
      <xdr:colOff>266700</xdr:colOff>
      <xdr:row>9</xdr:row>
      <xdr:rowOff>29073</xdr:rowOff>
    </xdr:to>
    <xdr:pic>
      <xdr:nvPicPr>
        <xdr:cNvPr id="4" name="Рисунок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9825" y="561975"/>
          <a:ext cx="2686050" cy="1042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13607</xdr:colOff>
      <xdr:row>0</xdr:row>
      <xdr:rowOff>33844</xdr:rowOff>
    </xdr:from>
    <xdr:to>
      <xdr:col>2</xdr:col>
      <xdr:colOff>385567</xdr:colOff>
      <xdr:row>3</xdr:row>
      <xdr:rowOff>148133</xdr:rowOff>
    </xdr:to>
    <xdr:pic>
      <xdr:nvPicPr>
        <xdr:cNvPr id="2" name="Рисунок 1" descr="C:\Users\AlekseenkoVV\Documents\РАБОЧИЙ СТОЛ\ВНУТРЕННИЕ ДОКУМЕНТЫ\BRANDBOOK NN_2016\ЛОГОПИТ 2016\Logoblocks\NORNICKEL_logoblock_main_1color_inv_rus_preview.jpg"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 y="100519"/>
          <a:ext cx="838685" cy="559243"/>
        </a:xfrm>
        <a:prstGeom prst="rect">
          <a:avLst/>
        </a:prstGeom>
        <a:solidFill>
          <a:srgbClr val="0099FF"/>
        </a:solid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1044;&#1086;&#1082;&#1091;&#1084;&#1077;&#1085;&#1090;&#1099;%20&#1059;&#1050;&#1080;&#1051;\&#1060;&#1086;&#1088;&#1084;&#1072;&#1090;%20%20&#1087;&#1086;%20&#1050;&#1086;&#1084;&#1087;&#1072;&#1085;&#1080;&#1080;\&#1054;&#1058;&#1063;&#1045;&#1058;&#1067;_2016\&#1050;&#1072;&#1088;&#1090;&#1086;&#1090;&#1077;&#1082;&#1072;\&#1050;_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1044;&#1086;&#1082;&#1091;&#1084;&#1077;&#1085;&#1090;&#1099;%20&#1059;&#1050;&#1080;&#1051;\&#1041;&#1102;&#1076;&#1078;&#1077;&#1090;%202018\&#1043;&#1086;&#1076;&#1086;&#1074;&#1086;&#1081;_&#1086;&#1090;&#1095;&#1077;&#1090;_2017\&#1050;&#1057;&#1054;\&#1062;&#1077;&#1085;&#1090;&#1088;&#1072;&#1083;&#1080;&#1079;&#1086;&#1074;&#1072;&#1085;&#1085;&#1099;&#1077;%20&#1092;&#1086;&#1088;&#1084;&#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Лист1"/>
      <sheetName val="Лист2"/>
      <sheetName val="Лист3"/>
      <sheetName val="NLMK-USA-MT"/>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12">
          <cell r="B12" t="str">
            <v>9010</v>
          </cell>
        </row>
      </sheetData>
      <sheetData sheetId="31">
        <row r="12">
          <cell r="B12" t="str">
            <v>9010</v>
          </cell>
        </row>
      </sheetData>
      <sheetData sheetId="32">
        <row r="12">
          <cell r="B12" t="str">
            <v>9010</v>
          </cell>
        </row>
      </sheetData>
      <sheetData sheetId="33" refreshError="1"/>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
      <sheetName val="фев"/>
      <sheetName val="2мес"/>
      <sheetName val="март"/>
      <sheetName val="1кв"/>
      <sheetName val="апрель"/>
      <sheetName val="4мес"/>
      <sheetName val="май"/>
      <sheetName val="5мес"/>
      <sheetName val="июнь"/>
      <sheetName val="2кв"/>
      <sheetName val="6мес"/>
      <sheetName val="июль"/>
      <sheetName val="7мес"/>
      <sheetName val="авг"/>
      <sheetName val="8мес"/>
      <sheetName val="сент"/>
      <sheetName val="3кв"/>
      <sheetName val="9мес"/>
      <sheetName val="окт"/>
      <sheetName val="10мес"/>
      <sheetName val="ноябрь"/>
      <sheetName val="11мес"/>
      <sheetName val="дек"/>
      <sheetName val="4кв"/>
      <sheetName val="2полуг"/>
      <sheetName val="ГОД"/>
      <sheetName val="Лист2"/>
      <sheetName val="КСО_рассылка"/>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5">
          <cell r="O5">
            <v>23553.046000249989</v>
          </cell>
        </row>
        <row r="39">
          <cell r="O39">
            <v>0.16666666666666666</v>
          </cell>
        </row>
        <row r="44">
          <cell r="O44">
            <v>60.5</v>
          </cell>
        </row>
        <row r="139">
          <cell r="O139">
            <v>12972.967688172042</v>
          </cell>
        </row>
        <row r="141">
          <cell r="O141">
            <v>7224.9666240423394</v>
          </cell>
        </row>
      </sheetData>
      <sheetData sheetId="27" refreshError="1"/>
      <sheetData sheetId="28" refreshError="1"/>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чень вспом отчетов (Приказ)"/>
      <sheetName val="SDLA0001"/>
      <sheetName val="SDLA0002"/>
      <sheetName val="SDLA0003"/>
      <sheetName val="ПЕРС-4(Ц)"/>
      <sheetName val="DLA0001.1"/>
      <sheetName val="DLA0001.2"/>
      <sheetName val="DLA0001.3"/>
      <sheetName val="DLA0001.4"/>
      <sheetName val="DLA0003"/>
      <sheetName val="DLA0004"/>
      <sheetName val="DLA0004.1"/>
      <sheetName val="DLA0004.2"/>
      <sheetName val="DLA0004.3"/>
      <sheetName val="DLA0004.4"/>
      <sheetName val="DLA0004.5"/>
      <sheetName val="DLA0005"/>
      <sheetName val="DLA0009"/>
      <sheetName val="DLA0010"/>
      <sheetName val="DLA0011"/>
      <sheetName val="DLA0012"/>
      <sheetName val="DLA0017"/>
      <sheetName val="DLA0002.1"/>
      <sheetName val="DLA000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0">
          <cell r="E20">
            <v>10.325587815027081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ornickel.com/upload/iblock/7ca/anual_report_2015_nn_en_web.pdf" TargetMode="External"/><Relationship Id="rId18" Type="http://schemas.openxmlformats.org/officeDocument/2006/relationships/hyperlink" Target="https://www.nornickel.com/upload/iblock/0d3/2014_nn_cso_eng.pdf" TargetMode="External"/><Relationship Id="rId26" Type="http://schemas.openxmlformats.org/officeDocument/2006/relationships/hyperlink" Target="https://ar2019.nornickel.com/overview/profile/" TargetMode="External"/><Relationship Id="rId3" Type="http://schemas.openxmlformats.org/officeDocument/2006/relationships/hyperlink" Target="https://www.nornickel.com/upload/iblock/7b2/Norilsk_Nickel_Environmental_Strategy_2021_en.pdf" TargetMode="External"/><Relationship Id="rId21" Type="http://schemas.openxmlformats.org/officeDocument/2006/relationships/hyperlink" Target="https://csr2017.nornickel.ru/en/" TargetMode="External"/><Relationship Id="rId34" Type="http://schemas.openxmlformats.org/officeDocument/2006/relationships/printerSettings" Target="../printerSettings/printerSettings1.bin"/><Relationship Id="rId7" Type="http://schemas.openxmlformats.org/officeDocument/2006/relationships/hyperlink" Target="https://www.nornickel.com/sustainability/esg-highlights/" TargetMode="External"/><Relationship Id="rId12" Type="http://schemas.openxmlformats.org/officeDocument/2006/relationships/hyperlink" Target="https://www.nornickel.com/upload/iblock/62a/ar_2012_eng.pdf" TargetMode="External"/><Relationship Id="rId17" Type="http://schemas.openxmlformats.org/officeDocument/2006/relationships/hyperlink" Target="http://or2014.nornik.ru/en/" TargetMode="External"/><Relationship Id="rId25" Type="http://schemas.openxmlformats.org/officeDocument/2006/relationships/hyperlink" Target="https://csr2019.nornickel.ru/en/" TargetMode="External"/><Relationship Id="rId33" Type="http://schemas.openxmlformats.org/officeDocument/2006/relationships/hyperlink" Target="https://www.nornickel.com/files/en/investors/esg/performance-against-the-un-sustainable-development-goals-2022.pdf" TargetMode="External"/><Relationship Id="rId2" Type="http://schemas.openxmlformats.org/officeDocument/2006/relationships/hyperlink" Target="https://www.nornickel.ru/upload/iblock/4d7/file1688.pdf" TargetMode="External"/><Relationship Id="rId16" Type="http://schemas.openxmlformats.org/officeDocument/2006/relationships/hyperlink" Target="https://www.nornickel.com/upload/iblock/df5/nn_csr_2013_en_cc_web.pdf" TargetMode="External"/><Relationship Id="rId20" Type="http://schemas.openxmlformats.org/officeDocument/2006/relationships/hyperlink" Target="http://csr2016.nornik.ru/en/company/" TargetMode="External"/><Relationship Id="rId29" Type="http://schemas.openxmlformats.org/officeDocument/2006/relationships/hyperlink" Target="https://www.nornickel.com/upload/iblock/461/19utieij7n11286t4gj2qwyld0qt36hc/2022_Annual_Report_of_PJSC_MMC_Norilsk_Nickel_eng.pdf" TargetMode="External"/><Relationship Id="rId1" Type="http://schemas.openxmlformats.org/officeDocument/2006/relationships/hyperlink" Target="https://www.nornickel.ru/upload/iblock/3b7/file1693.pdf" TargetMode="External"/><Relationship Id="rId6" Type="http://schemas.openxmlformats.org/officeDocument/2006/relationships/hyperlink" Target="https://www.nornickel.com/investors/disclosure/corporate-documents/" TargetMode="External"/><Relationship Id="rId11" Type="http://schemas.openxmlformats.org/officeDocument/2006/relationships/hyperlink" Target="https://www.nornickel.com/upload/iblock/baa/nn_csr_2013_en_cc_web.pdf" TargetMode="External"/><Relationship Id="rId24" Type="http://schemas.openxmlformats.org/officeDocument/2006/relationships/hyperlink" Target="https://ar2018.nornickel.com/" TargetMode="External"/><Relationship Id="rId32" Type="http://schemas.openxmlformats.org/officeDocument/2006/relationships/hyperlink" Target="https://www.nornickel.com/upload/files/en/investors/reports-and-results/annual-reports/nn_human_rights_eng.pdf" TargetMode="External"/><Relationship Id="rId5" Type="http://schemas.openxmlformats.org/officeDocument/2006/relationships/hyperlink" Target="https://www.nornickel.ru/business/certificates/" TargetMode="External"/><Relationship Id="rId15" Type="http://schemas.openxmlformats.org/officeDocument/2006/relationships/hyperlink" Target="https://www.nornickel.com/upload/iblock/04e/nn_ar_2013_en_fin_na_20_iyunya.pdf" TargetMode="External"/><Relationship Id="rId23" Type="http://schemas.openxmlformats.org/officeDocument/2006/relationships/hyperlink" Target="https://csr2018.nornickel.ru/en-US/all_report.html" TargetMode="External"/><Relationship Id="rId28" Type="http://schemas.openxmlformats.org/officeDocument/2006/relationships/hyperlink" Target="https://ar2020.nornickel.com/" TargetMode="External"/><Relationship Id="rId10" Type="http://schemas.openxmlformats.org/officeDocument/2006/relationships/hyperlink" Target="https://www.nornickel.com/upload/iblock/88f/r10hi0iywlnw8ncm0nioq8pwgf1d3jhn/nornickel_scenariosfor_climate_related_risk_assessment_eng.pdf" TargetMode="External"/><Relationship Id="rId19" Type="http://schemas.openxmlformats.org/officeDocument/2006/relationships/hyperlink" Target="https://www.nornickel.com/upload/iblock/04f/nn_cso2015_eng.pdf" TargetMode="External"/><Relationship Id="rId31" Type="http://schemas.openxmlformats.org/officeDocument/2006/relationships/hyperlink" Target="https://www.nornickel.com/upload/files/en/investors/reports-and-results/annual-reports/responsible_supply_chain_report_eng.pdf" TargetMode="External"/><Relationship Id="rId4" Type="http://schemas.openxmlformats.org/officeDocument/2006/relationships/hyperlink" Target="https://www.nornickel.com/upload/iblock/987/strategy_day_presentation_2021.pdf" TargetMode="External"/><Relationship Id="rId9" Type="http://schemas.openxmlformats.org/officeDocument/2006/relationships/hyperlink" Target="https://csr2021.nornickel.ru/en/" TargetMode="External"/><Relationship Id="rId14" Type="http://schemas.openxmlformats.org/officeDocument/2006/relationships/hyperlink" Target="https://www.nornickel.com/upload/iblock/85f/annual_report_2016_nornickel_2_.pdf" TargetMode="External"/><Relationship Id="rId22" Type="http://schemas.openxmlformats.org/officeDocument/2006/relationships/hyperlink" Target="https://ar2017.nornickel.com/" TargetMode="External"/><Relationship Id="rId27" Type="http://schemas.openxmlformats.org/officeDocument/2006/relationships/hyperlink" Target="https://csr2020.nornickel.ru/en/" TargetMode="External"/><Relationship Id="rId30" Type="http://schemas.openxmlformats.org/officeDocument/2006/relationships/hyperlink" Target="https://www.nornickel.com/upload/iblock/213/mtbdolrkqb3q8lfmb7jyonwqgey5wxb5/nn_cso_2022_eng.pdf" TargetMode="External"/><Relationship Id="rId35" Type="http://schemas.openxmlformats.org/officeDocument/2006/relationships/drawing" Target="../drawings/drawing1.xml"/><Relationship Id="rId8" Type="http://schemas.openxmlformats.org/officeDocument/2006/relationships/hyperlink" Target="https://ar2021.nornicke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nornickel.com/upload/iblock/4cb/PJSC_MMC_NORILSK_NICKEL_s_Position_Statement_on_Water_Stewardship.pdf" TargetMode="External"/><Relationship Id="rId3" Type="http://schemas.openxmlformats.org/officeDocument/2006/relationships/hyperlink" Target="https://www.nornickel.com/upload/iblock/988/PJSC_MMC_NORILSK_NICKEL_s_Position_Statement_on_Biodiversity.pdf" TargetMode="External"/><Relationship Id="rId7" Type="http://schemas.openxmlformats.org/officeDocument/2006/relationships/hyperlink" Target="https://www.nornickel.com/upload/iblock/bc2/PJSC_MMC_NORILSK_NICKEL_s_Tailings_Management_Policy.pdf" TargetMode="External"/><Relationship Id="rId12" Type="http://schemas.openxmlformats.org/officeDocument/2006/relationships/drawing" Target="../drawings/drawing2.xml"/><Relationship Id="rId2" Type="http://schemas.openxmlformats.org/officeDocument/2006/relationships/hyperlink" Target="https://www.nornickel.com/upload/iblock/896/Quality_Policy_271117.pdf" TargetMode="External"/><Relationship Id="rId1" Type="http://schemas.openxmlformats.org/officeDocument/2006/relationships/hyperlink" Target="https://www.nornickel.com/upload/iblock/0bd/Environmental_Policy_220721.pdf" TargetMode="External"/><Relationship Id="rId6" Type="http://schemas.openxmlformats.org/officeDocument/2006/relationships/hyperlink" Target="https://www.nornickel.com/upload/iblock/5f0/PJSC_MMC_NORILSK_NICKEL_s_Climate_Change_Policy.pdf" TargetMode="External"/><Relationship Id="rId11" Type="http://schemas.openxmlformats.org/officeDocument/2006/relationships/printerSettings" Target="../printerSettings/printerSettings2.bin"/><Relationship Id="rId5" Type="http://schemas.openxmlformats.org/officeDocument/2006/relationships/hyperlink" Target="https://www.nornickel.com/upload/iblock/ff4/Renewable_Energy_Sources_Policy.pdf" TargetMode="External"/><Relationship Id="rId10" Type="http://schemas.openxmlformats.org/officeDocument/2006/relationships/hyperlink" Target="https://www.nornickel.com/upload/iblock/343/supplier_code_of_conduct.pdf" TargetMode="External"/><Relationship Id="rId4" Type="http://schemas.openxmlformats.org/officeDocument/2006/relationships/hyperlink" Target="https://www.nornickel.com/upload/iblock/1bb/Environmental_Impact_Assessment_Policy.pdf" TargetMode="External"/><Relationship Id="rId9" Type="http://schemas.openxmlformats.org/officeDocument/2006/relationships/hyperlink" Target="https://www.nornickel.com/upload/iblock/b45/responsible_sourcing_policy.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nornickel.com/upload/iblock/9df/PJSC_MMC_Norilsk_Nickel_Community_Engagement_Policy.pdf" TargetMode="External"/><Relationship Id="rId3" Type="http://schemas.openxmlformats.org/officeDocument/2006/relationships/hyperlink" Target="https://www.nornickel.com/files/en/corporate_documents/constituent_documents/Human-Rights_Policy_271117.pdf" TargetMode="External"/><Relationship Id="rId7" Type="http://schemas.openxmlformats.org/officeDocument/2006/relationships/hyperlink" Target="https://www.nornickel.com/upload/iblock/464/Occupational_health_and_safety_policy_eng.pdf" TargetMode="External"/><Relationship Id="rId12" Type="http://schemas.openxmlformats.org/officeDocument/2006/relationships/printerSettings" Target="../printerSettings/printerSettings3.bin"/><Relationship Id="rId2" Type="http://schemas.openxmlformats.org/officeDocument/2006/relationships/hyperlink" Target="https://www.nornickel.com/files/en/corporate_documents/constituent_documents/Freedom-of_Association-Policy_271117.pdf" TargetMode="External"/><Relationship Id="rId1" Type="http://schemas.openxmlformats.org/officeDocument/2006/relationships/hyperlink" Target="https://www.nornickel.com/files/en/corporate_documents/constituent_documents/Equal_Opportonities-Programme.pdf" TargetMode="External"/><Relationship Id="rId6" Type="http://schemas.openxmlformats.org/officeDocument/2006/relationships/hyperlink" Target="https://www.nornickel.com/upload/iblock/2fb/Policy_of_PJSC_MMC_Norilsk_Nickel_Regarding_Support_for_Small_and_Medium_Enterprises.pdf" TargetMode="External"/><Relationship Id="rId11" Type="http://schemas.openxmlformats.org/officeDocument/2006/relationships/hyperlink" Target="https://www.nornickel.com/upload/iblock/b45/responsible_sourcing_policy.pdf" TargetMode="External"/><Relationship Id="rId5" Type="http://schemas.openxmlformats.org/officeDocument/2006/relationships/hyperlink" Target="https://www.nornickel.com/files/en/corporate_documents/constituent_documents/Working-Conditions_Policy-en-new.pdf" TargetMode="External"/><Relationship Id="rId10" Type="http://schemas.openxmlformats.org/officeDocument/2006/relationships/hyperlink" Target="https://www.nornickel.com/upload/iblock/343/supplier_code_of_conduct.pdf" TargetMode="External"/><Relationship Id="rId4" Type="http://schemas.openxmlformats.org/officeDocument/2006/relationships/hyperlink" Target="https://www.nornickel.com/files/en/corporate_documents/policies/Indigenous_Rights_Policy.pdf" TargetMode="External"/><Relationship Id="rId9" Type="http://schemas.openxmlformats.org/officeDocument/2006/relationships/hyperlink" Target="https://www.nornickel.com/upload/iblock/db8/PJSC_MMC_Norilsk_Nickel_s_Stakeholder_Engagement_Policy.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nornickel.com/files/en/corporate_documents/constituent_documents/Anti-Corruption_Policy_of_PJSC_MMC_Norilsk_Nickel.pdf" TargetMode="External"/><Relationship Id="rId13" Type="http://schemas.openxmlformats.org/officeDocument/2006/relationships/hyperlink" Target="https://www.nornickel.com/upload/iblock/f62/terms_of_reference_of_audit_committee_of_board_of_directors_of_pjsc_mmc_norilsk_nickel.pdf" TargetMode="External"/><Relationship Id="rId18" Type="http://schemas.openxmlformats.org/officeDocument/2006/relationships/hyperlink" Target="https://www.nornickel.com/upload/iblock/b7c/Regulations_on_Corporate_Secretary_160120.pdf" TargetMode="External"/><Relationship Id="rId3" Type="http://schemas.openxmlformats.org/officeDocument/2006/relationships/hyperlink" Target="https://www.nornickel.com/files/en/corporate_documents/constituent_documents/2014.11.10_Induction-and-Continuing-Education-Policy_ENG_Final_Draft.pdf" TargetMode="External"/><Relationship Id="rId21" Type="http://schemas.openxmlformats.org/officeDocument/2006/relationships/printerSettings" Target="../printerSettings/printerSettings4.bin"/><Relationship Id="rId7" Type="http://schemas.openxmlformats.org/officeDocument/2006/relationships/hyperlink" Target="https://www.nornickel.com/files/en/corporate_documents/constituent_documents/Dividend%20Policy_NN.pdf" TargetMode="External"/><Relationship Id="rId12" Type="http://schemas.openxmlformats.org/officeDocument/2006/relationships/hyperlink" Target="https://www.nornickel.com/upload/iblock/621/business_ethics_code.pdf" TargetMode="External"/><Relationship Id="rId17" Type="http://schemas.openxmlformats.org/officeDocument/2006/relationships/hyperlink" Target="https://www.nornickel.com/upload/iblock/f81/Board_Succession_Policy.pdf" TargetMode="External"/><Relationship Id="rId2" Type="http://schemas.openxmlformats.org/officeDocument/2006/relationships/hyperlink" Target="https://www.nornickel.com/files/en/corporate_documents/constituent_documents/file1264.pdf" TargetMode="External"/><Relationship Id="rId16" Type="http://schemas.openxmlformats.org/officeDocument/2006/relationships/hyperlink" Target="https://www.nornickel.com/upload/iblock/195/REMUNERATION_POLICY_for_MEMBERS_OF_BOARD_OF_DIRECTORS_.pdf" TargetMode="External"/><Relationship Id="rId20" Type="http://schemas.openxmlformats.org/officeDocument/2006/relationships/hyperlink" Target="https://www.nornickel.com/upload/iblock/b41/code_of_conduct_and_ethics_for_members_of_the_bod_nn.pdf" TargetMode="External"/><Relationship Id="rId1" Type="http://schemas.openxmlformats.org/officeDocument/2006/relationships/hyperlink" Target="https://www.nornickel.com/files/en/corporate_documents/constituent_documents/Regulations-AGM-2014(1).pdf" TargetMode="External"/><Relationship Id="rId6" Type="http://schemas.openxmlformats.org/officeDocument/2006/relationships/hyperlink" Target="https://www.nornickel.com/files/en/corporate_documents/constituent_documents/file1265.pdf" TargetMode="External"/><Relationship Id="rId11" Type="http://schemas.openxmlformats.org/officeDocument/2006/relationships/hyperlink" Target="https://www.nornickel.com/investors/disclosure/corporate-documents/" TargetMode="External"/><Relationship Id="rId5" Type="http://schemas.openxmlformats.org/officeDocument/2006/relationships/hyperlink" Target="https://www.nornickel.com/files/en/corporate_documents/constituent_documents/file0040.pdf" TargetMode="External"/><Relationship Id="rId15" Type="http://schemas.openxmlformats.org/officeDocument/2006/relationships/hyperlink" Target="https://www.nornickel.com/upload/iblock/8ee/CGNandR_Committee_Terms_of_Reference.pdf" TargetMode="External"/><Relationship Id="rId10" Type="http://schemas.openxmlformats.org/officeDocument/2006/relationships/hyperlink" Target="https://www.nornickel.com/upload/iblock/5ed/Information_Policy.pdf" TargetMode="External"/><Relationship Id="rId19" Type="http://schemas.openxmlformats.org/officeDocument/2006/relationships/hyperlink" Target="https://www.nornickel.com/upload/iblock/896/Quality_Policy_271117.pdf" TargetMode="External"/><Relationship Id="rId4" Type="http://schemas.openxmlformats.org/officeDocument/2006/relationships/hyperlink" Target="https://www.nornickel.com/files/en/corporate_documents/constituent_documents/Board-Performance-Evaluation-Policy.pdf" TargetMode="External"/><Relationship Id="rId9" Type="http://schemas.openxmlformats.org/officeDocument/2006/relationships/hyperlink" Target="https://www.nornickel.com/files/en/corporate_documents/policies/Antitrust-Compliance_Policy_201017.pdf" TargetMode="External"/><Relationship Id="rId14" Type="http://schemas.openxmlformats.org/officeDocument/2006/relationships/hyperlink" Target="https://www.nornickel.com/upload/iblock/e98/regulations_on_the_sustainable_development_and_climate_change_committee_of_pjsc_mmc_norilsk_nickel_s_board_of_director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176C3"/>
  </sheetPr>
  <dimension ref="A1:R57"/>
  <sheetViews>
    <sheetView showGridLines="0" tabSelected="1" zoomScale="85" zoomScaleNormal="85" zoomScaleSheetLayoutView="70" workbookViewId="0">
      <selection activeCell="J31" sqref="J31"/>
    </sheetView>
  </sheetViews>
  <sheetFormatPr defaultColWidth="9.140625" defaultRowHeight="14.25" x14ac:dyDescent="0.2"/>
  <cols>
    <col min="1" max="1" width="2.42578125" style="320" customWidth="1"/>
    <col min="2" max="2" width="3.85546875" style="320" customWidth="1"/>
    <col min="3" max="3" width="12" style="320" customWidth="1"/>
    <col min="4" max="4" width="25.7109375" style="320" customWidth="1"/>
    <col min="5" max="5" width="10.42578125" style="320" customWidth="1"/>
    <col min="6" max="14" width="9.140625" style="320"/>
    <col min="15" max="16" width="9.42578125" style="320" customWidth="1"/>
    <col min="17" max="17" width="2.5703125" style="320" customWidth="1"/>
    <col min="18" max="18" width="9.140625" style="320"/>
    <col min="19" max="16384" width="9.140625" style="322"/>
  </cols>
  <sheetData>
    <row r="1" spans="1:18" x14ac:dyDescent="0.2">
      <c r="Q1" s="321"/>
    </row>
    <row r="2" spans="1:18" x14ac:dyDescent="0.2">
      <c r="Q2" s="321"/>
      <c r="R2" s="321"/>
    </row>
    <row r="3" spans="1:18" s="326" customFormat="1" x14ac:dyDescent="0.2">
      <c r="A3" s="323"/>
      <c r="B3" s="324"/>
      <c r="C3" s="324"/>
      <c r="D3" s="324"/>
      <c r="E3" s="324"/>
      <c r="F3" s="324"/>
      <c r="G3" s="324"/>
      <c r="H3" s="324"/>
      <c r="I3" s="324"/>
      <c r="J3" s="324"/>
      <c r="K3" s="324"/>
      <c r="L3" s="324"/>
      <c r="M3" s="324"/>
      <c r="N3" s="324"/>
      <c r="O3" s="324"/>
      <c r="P3" s="324"/>
      <c r="Q3" s="324"/>
      <c r="R3" s="325"/>
    </row>
    <row r="4" spans="1:18" x14ac:dyDescent="0.2">
      <c r="A4" s="324"/>
      <c r="Q4" s="324"/>
    </row>
    <row r="5" spans="1:18" x14ac:dyDescent="0.2">
      <c r="A5" s="324"/>
      <c r="B5" s="327" t="s">
        <v>81</v>
      </c>
      <c r="C5" s="328"/>
      <c r="Q5" s="324"/>
    </row>
    <row r="6" spans="1:18" x14ac:dyDescent="0.2">
      <c r="A6" s="324"/>
      <c r="Q6" s="324"/>
    </row>
    <row r="7" spans="1:18" x14ac:dyDescent="0.2">
      <c r="A7" s="324"/>
      <c r="C7" s="329" t="s">
        <v>233</v>
      </c>
      <c r="Q7" s="324"/>
    </row>
    <row r="8" spans="1:18" x14ac:dyDescent="0.2">
      <c r="A8" s="330"/>
      <c r="B8" s="329"/>
      <c r="Q8" s="324"/>
    </row>
    <row r="9" spans="1:18" x14ac:dyDescent="0.2">
      <c r="A9" s="330"/>
      <c r="B9" s="329"/>
      <c r="Q9" s="324"/>
    </row>
    <row r="10" spans="1:18" x14ac:dyDescent="0.2">
      <c r="A10" s="330"/>
      <c r="C10" s="329" t="s">
        <v>186</v>
      </c>
      <c r="Q10" s="324"/>
    </row>
    <row r="11" spans="1:18" x14ac:dyDescent="0.2">
      <c r="A11" s="330"/>
      <c r="C11" s="329"/>
      <c r="Q11" s="324"/>
    </row>
    <row r="12" spans="1:18" x14ac:dyDescent="0.2">
      <c r="A12" s="330"/>
      <c r="B12" s="331"/>
      <c r="C12" s="332" t="s">
        <v>84</v>
      </c>
      <c r="D12" s="333"/>
      <c r="E12" s="334"/>
      <c r="F12" s="1"/>
      <c r="I12" s="335"/>
      <c r="Q12" s="324"/>
    </row>
    <row r="13" spans="1:18" ht="6" customHeight="1" x14ac:dyDescent="0.2">
      <c r="A13" s="330"/>
      <c r="B13" s="4"/>
      <c r="C13" s="2"/>
      <c r="D13" s="2"/>
      <c r="E13" s="2"/>
      <c r="F13" s="1"/>
      <c r="Q13" s="324"/>
    </row>
    <row r="14" spans="1:18" x14ac:dyDescent="0.2">
      <c r="A14" s="330"/>
      <c r="B14" s="5"/>
      <c r="C14" s="332" t="s">
        <v>85</v>
      </c>
      <c r="D14" s="333"/>
      <c r="E14" s="334"/>
      <c r="F14" s="1"/>
      <c r="Q14" s="324"/>
    </row>
    <row r="15" spans="1:18" ht="6" customHeight="1" x14ac:dyDescent="0.2">
      <c r="A15" s="330"/>
      <c r="B15" s="4"/>
      <c r="C15" s="336"/>
      <c r="D15" s="3"/>
      <c r="E15" s="3"/>
      <c r="F15" s="1"/>
      <c r="Q15" s="324"/>
    </row>
    <row r="16" spans="1:18" x14ac:dyDescent="0.2">
      <c r="A16" s="330"/>
      <c r="B16" s="5"/>
      <c r="C16" s="332" t="s">
        <v>86</v>
      </c>
      <c r="D16" s="333"/>
      <c r="E16" s="334"/>
      <c r="F16" s="1"/>
      <c r="Q16" s="324"/>
    </row>
    <row r="17" spans="1:17" x14ac:dyDescent="0.2">
      <c r="A17" s="330"/>
      <c r="B17" s="4"/>
      <c r="C17" s="336"/>
      <c r="D17" s="3"/>
      <c r="E17" s="3"/>
      <c r="F17" s="1"/>
      <c r="Q17" s="324"/>
    </row>
    <row r="18" spans="1:17" x14ac:dyDescent="0.2">
      <c r="A18" s="337"/>
      <c r="B18" s="4"/>
      <c r="C18" s="336"/>
      <c r="D18" s="3"/>
      <c r="E18" s="3"/>
      <c r="F18" s="1"/>
      <c r="Q18" s="324"/>
    </row>
    <row r="19" spans="1:17" x14ac:dyDescent="0.2">
      <c r="A19" s="337"/>
      <c r="B19" s="4"/>
      <c r="C19" s="336"/>
      <c r="D19" s="3"/>
      <c r="E19" s="3"/>
      <c r="F19" s="1"/>
      <c r="Q19" s="324"/>
    </row>
    <row r="20" spans="1:17" x14ac:dyDescent="0.2">
      <c r="A20" s="337"/>
      <c r="B20" s="4"/>
      <c r="C20" s="329" t="s">
        <v>188</v>
      </c>
      <c r="D20" s="3"/>
      <c r="E20" s="3"/>
      <c r="F20" s="1"/>
      <c r="Q20" s="324"/>
    </row>
    <row r="21" spans="1:17" ht="13.5" customHeight="1" x14ac:dyDescent="0.2">
      <c r="A21" s="337"/>
      <c r="B21" s="4"/>
      <c r="C21" s="338"/>
      <c r="D21" s="339"/>
      <c r="E21" s="339"/>
      <c r="F21" s="339"/>
      <c r="G21" s="339"/>
      <c r="H21" s="322"/>
      <c r="I21" s="322"/>
      <c r="J21" s="322"/>
      <c r="K21" s="322"/>
      <c r="L21" s="322"/>
      <c r="M21" s="322"/>
      <c r="N21" s="322"/>
      <c r="O21" s="322"/>
      <c r="P21" s="322"/>
      <c r="Q21" s="324"/>
    </row>
    <row r="22" spans="1:17" x14ac:dyDescent="0.2">
      <c r="A22" s="337"/>
      <c r="B22" s="4"/>
      <c r="C22" s="340" t="s">
        <v>207</v>
      </c>
      <c r="D22" s="339"/>
      <c r="E22" s="339"/>
      <c r="F22" s="339"/>
      <c r="G22" s="339"/>
      <c r="H22" s="322"/>
      <c r="I22" s="322"/>
      <c r="J22" s="322"/>
      <c r="K22" s="322"/>
      <c r="L22" s="322"/>
      <c r="M22" s="322"/>
      <c r="N22" s="322"/>
      <c r="O22" s="322"/>
      <c r="P22" s="322"/>
      <c r="Q22" s="324"/>
    </row>
    <row r="23" spans="1:17" x14ac:dyDescent="0.2">
      <c r="A23" s="337"/>
      <c r="B23" s="4"/>
      <c r="C23" s="340"/>
      <c r="D23" s="339"/>
      <c r="E23" s="339"/>
      <c r="F23" s="339"/>
      <c r="G23" s="339"/>
      <c r="H23" s="322"/>
      <c r="I23" s="322"/>
      <c r="J23" s="322"/>
      <c r="K23" s="322"/>
      <c r="L23" s="322"/>
      <c r="M23" s="322"/>
      <c r="N23" s="322"/>
      <c r="O23" s="322"/>
      <c r="P23" s="322"/>
      <c r="Q23" s="324"/>
    </row>
    <row r="24" spans="1:17" x14ac:dyDescent="0.2">
      <c r="A24" s="337"/>
      <c r="B24" s="4"/>
      <c r="C24" s="340" t="s">
        <v>189</v>
      </c>
      <c r="D24" s="339"/>
      <c r="E24" s="339"/>
      <c r="F24" s="339"/>
      <c r="G24" s="339"/>
      <c r="H24" s="322"/>
      <c r="I24" s="322"/>
      <c r="J24" s="322"/>
      <c r="K24" s="322"/>
      <c r="L24" s="322"/>
      <c r="M24" s="322"/>
      <c r="N24" s="322"/>
      <c r="O24" s="322"/>
      <c r="P24" s="322"/>
      <c r="Q24" s="324"/>
    </row>
    <row r="25" spans="1:17" ht="14.25" customHeight="1" x14ac:dyDescent="0.2">
      <c r="A25" s="337"/>
      <c r="B25" s="4"/>
      <c r="C25" s="338"/>
      <c r="D25" s="339"/>
      <c r="E25" s="339"/>
      <c r="F25" s="339"/>
      <c r="G25" s="339"/>
      <c r="H25" s="322"/>
      <c r="I25" s="322"/>
      <c r="J25" s="322"/>
      <c r="K25" s="322"/>
      <c r="L25" s="322"/>
      <c r="M25" s="322"/>
      <c r="N25" s="322"/>
      <c r="O25" s="322"/>
      <c r="P25" s="322"/>
      <c r="Q25" s="324"/>
    </row>
    <row r="26" spans="1:17" x14ac:dyDescent="0.2">
      <c r="A26" s="337"/>
      <c r="B26" s="4"/>
      <c r="C26" s="340" t="s">
        <v>234</v>
      </c>
      <c r="D26" s="339"/>
      <c r="E26" s="339"/>
      <c r="F26" s="339"/>
      <c r="G26" s="339"/>
      <c r="H26" s="322"/>
      <c r="I26" s="322"/>
      <c r="J26" s="322"/>
      <c r="K26" s="322"/>
      <c r="L26" s="322"/>
      <c r="M26" s="322"/>
      <c r="N26" s="322"/>
      <c r="O26" s="322"/>
      <c r="P26" s="322"/>
      <c r="Q26" s="324"/>
    </row>
    <row r="27" spans="1:17" x14ac:dyDescent="0.2">
      <c r="A27" s="337"/>
      <c r="B27" s="4"/>
      <c r="C27" s="341"/>
      <c r="D27" s="339"/>
      <c r="E27" s="339"/>
      <c r="F27" s="339"/>
      <c r="G27" s="322"/>
      <c r="H27" s="322"/>
      <c r="I27" s="322"/>
      <c r="J27" s="322"/>
      <c r="K27" s="322"/>
      <c r="L27" s="322"/>
      <c r="M27" s="322"/>
      <c r="N27" s="322"/>
      <c r="O27" s="322"/>
      <c r="Q27" s="324"/>
    </row>
    <row r="28" spans="1:17" x14ac:dyDescent="0.2">
      <c r="A28" s="337"/>
      <c r="B28" s="4"/>
      <c r="C28" s="340" t="s">
        <v>204</v>
      </c>
      <c r="D28" s="339"/>
      <c r="E28" s="339"/>
      <c r="F28" s="339"/>
      <c r="G28" s="322"/>
      <c r="H28" s="322"/>
      <c r="I28" s="322"/>
      <c r="J28" s="322"/>
      <c r="K28" s="322"/>
      <c r="L28" s="322"/>
      <c r="M28" s="322"/>
      <c r="N28" s="322"/>
      <c r="O28" s="322"/>
      <c r="Q28" s="324"/>
    </row>
    <row r="29" spans="1:17" x14ac:dyDescent="0.2">
      <c r="A29" s="337"/>
      <c r="B29" s="4"/>
      <c r="C29" s="341"/>
      <c r="D29" s="339"/>
      <c r="E29" s="339"/>
      <c r="F29" s="339"/>
      <c r="G29" s="322"/>
      <c r="H29" s="322"/>
      <c r="I29" s="322"/>
      <c r="J29" s="322"/>
      <c r="K29" s="322"/>
      <c r="L29" s="322"/>
      <c r="M29" s="322"/>
      <c r="N29" s="322"/>
      <c r="O29" s="322"/>
      <c r="Q29" s="324"/>
    </row>
    <row r="30" spans="1:17" x14ac:dyDescent="0.2">
      <c r="A30" s="337"/>
      <c r="B30" s="4"/>
      <c r="C30" s="340" t="s">
        <v>208</v>
      </c>
      <c r="D30" s="339"/>
      <c r="E30" s="339"/>
      <c r="F30" s="339"/>
      <c r="G30" s="322"/>
      <c r="H30" s="322"/>
      <c r="I30" s="322"/>
      <c r="J30" s="322"/>
      <c r="K30" s="322"/>
      <c r="L30" s="322"/>
      <c r="M30" s="322"/>
      <c r="N30" s="322"/>
      <c r="O30" s="322"/>
      <c r="Q30" s="324"/>
    </row>
    <row r="31" spans="1:17" x14ac:dyDescent="0.2">
      <c r="A31" s="337"/>
      <c r="B31" s="4"/>
      <c r="C31" s="341"/>
      <c r="D31" s="339"/>
      <c r="E31" s="339"/>
      <c r="F31" s="339"/>
      <c r="G31" s="322"/>
      <c r="H31" s="322"/>
      <c r="I31" s="322"/>
      <c r="J31" s="322"/>
      <c r="K31" s="322"/>
      <c r="L31" s="322"/>
      <c r="M31" s="322"/>
      <c r="N31" s="322"/>
      <c r="O31" s="322"/>
      <c r="Q31" s="324"/>
    </row>
    <row r="32" spans="1:17" x14ac:dyDescent="0.2">
      <c r="A32" s="337"/>
      <c r="C32" s="340" t="s">
        <v>192</v>
      </c>
      <c r="D32" s="322"/>
      <c r="E32" s="322"/>
      <c r="F32" s="322"/>
      <c r="G32" s="322"/>
      <c r="H32" s="322"/>
      <c r="I32" s="322"/>
      <c r="J32" s="322"/>
      <c r="K32" s="322"/>
      <c r="L32" s="322"/>
      <c r="M32" s="322"/>
      <c r="N32" s="322"/>
      <c r="O32" s="322"/>
      <c r="Q32" s="324"/>
    </row>
    <row r="33" spans="1:17" x14ac:dyDescent="0.2">
      <c r="A33" s="337"/>
      <c r="H33" s="322"/>
      <c r="I33" s="322"/>
      <c r="J33" s="322"/>
      <c r="K33" s="322"/>
      <c r="L33" s="322"/>
      <c r="M33" s="322"/>
      <c r="N33" s="322"/>
      <c r="O33" s="322"/>
      <c r="Q33" s="324"/>
    </row>
    <row r="34" spans="1:17" x14ac:dyDescent="0.2">
      <c r="A34" s="337"/>
      <c r="C34" s="340" t="s">
        <v>205</v>
      </c>
      <c r="H34" s="322"/>
      <c r="I34" s="322"/>
      <c r="J34" s="322"/>
      <c r="K34" s="322"/>
      <c r="L34" s="322"/>
      <c r="M34" s="322"/>
      <c r="N34" s="322"/>
      <c r="O34" s="322"/>
      <c r="Q34" s="324"/>
    </row>
    <row r="35" spans="1:17" x14ac:dyDescent="0.2">
      <c r="A35" s="337"/>
      <c r="B35" s="4"/>
      <c r="C35" s="341"/>
      <c r="D35" s="339"/>
      <c r="E35" s="339"/>
      <c r="F35" s="339"/>
      <c r="G35" s="322"/>
      <c r="H35" s="322"/>
      <c r="I35" s="322"/>
      <c r="J35" s="322"/>
      <c r="K35" s="322"/>
      <c r="L35" s="322"/>
      <c r="M35" s="322"/>
      <c r="N35" s="322"/>
      <c r="O35" s="322"/>
      <c r="Q35" s="324"/>
    </row>
    <row r="36" spans="1:17" x14ac:dyDescent="0.2">
      <c r="A36" s="337"/>
      <c r="B36" s="4"/>
      <c r="C36" s="341"/>
      <c r="D36" s="339"/>
      <c r="F36" s="339"/>
      <c r="G36" s="339"/>
      <c r="H36" s="322"/>
      <c r="I36" s="322"/>
      <c r="J36" s="322"/>
      <c r="K36" s="322"/>
      <c r="L36" s="322"/>
      <c r="M36" s="322"/>
      <c r="N36" s="322"/>
      <c r="O36" s="322"/>
      <c r="Q36" s="324"/>
    </row>
    <row r="37" spans="1:17" x14ac:dyDescent="0.2">
      <c r="A37" s="330"/>
      <c r="C37" s="341" t="s">
        <v>190</v>
      </c>
      <c r="E37" s="340">
        <v>2022</v>
      </c>
      <c r="F37" s="340">
        <v>2021</v>
      </c>
      <c r="G37" s="340">
        <v>2020</v>
      </c>
      <c r="H37" s="340">
        <v>2019</v>
      </c>
      <c r="I37" s="340">
        <v>2018</v>
      </c>
      <c r="J37" s="340">
        <v>2017</v>
      </c>
      <c r="K37" s="340">
        <v>2016</v>
      </c>
      <c r="L37" s="340">
        <v>2015</v>
      </c>
      <c r="M37" s="340">
        <v>2014</v>
      </c>
      <c r="N37" s="340">
        <v>2013</v>
      </c>
      <c r="O37" s="340">
        <v>2012</v>
      </c>
      <c r="Q37" s="324">
        <v>2010</v>
      </c>
    </row>
    <row r="38" spans="1:17" x14ac:dyDescent="0.2">
      <c r="A38" s="324"/>
      <c r="C38" s="322"/>
      <c r="F38" s="342"/>
      <c r="G38" s="340"/>
      <c r="H38" s="340"/>
      <c r="I38" s="340"/>
      <c r="J38" s="340"/>
      <c r="K38" s="340"/>
      <c r="L38" s="340"/>
      <c r="M38" s="340"/>
      <c r="N38" s="340"/>
      <c r="O38" s="340"/>
      <c r="Q38" s="324"/>
    </row>
    <row r="39" spans="1:17" x14ac:dyDescent="0.2">
      <c r="A39" s="324"/>
      <c r="C39" s="341" t="s">
        <v>191</v>
      </c>
      <c r="E39" s="340">
        <v>2022</v>
      </c>
      <c r="F39" s="340">
        <v>2021</v>
      </c>
      <c r="G39" s="340">
        <v>2020</v>
      </c>
      <c r="H39" s="340">
        <v>2019</v>
      </c>
      <c r="I39" s="340">
        <v>2018</v>
      </c>
      <c r="J39" s="340">
        <v>2017</v>
      </c>
      <c r="K39" s="340">
        <v>2016</v>
      </c>
      <c r="L39" s="340">
        <v>2015</v>
      </c>
      <c r="M39" s="340">
        <v>2014</v>
      </c>
      <c r="N39" s="340">
        <v>2013</v>
      </c>
      <c r="O39" s="340">
        <v>2012</v>
      </c>
      <c r="Q39" s="324">
        <v>2010</v>
      </c>
    </row>
    <row r="40" spans="1:17" x14ac:dyDescent="0.2">
      <c r="A40" s="324"/>
      <c r="C40" s="322"/>
      <c r="D40" s="339"/>
      <c r="E40" s="339"/>
      <c r="F40" s="339"/>
      <c r="G40" s="339"/>
      <c r="H40" s="322"/>
      <c r="I40" s="322"/>
      <c r="J40" s="322"/>
      <c r="K40" s="322"/>
      <c r="L40" s="322"/>
      <c r="M40" s="322"/>
      <c r="N40" s="322"/>
      <c r="O40" s="322"/>
      <c r="P40" s="322"/>
      <c r="Q40" s="324"/>
    </row>
    <row r="41" spans="1:17" x14ac:dyDescent="0.2">
      <c r="A41" s="324"/>
      <c r="C41" s="341" t="s">
        <v>242</v>
      </c>
      <c r="D41" s="322"/>
      <c r="E41" s="340">
        <v>2022</v>
      </c>
      <c r="F41" s="322"/>
      <c r="G41" s="322"/>
      <c r="H41" s="322"/>
      <c r="I41" s="322"/>
      <c r="J41" s="322"/>
      <c r="K41" s="322"/>
      <c r="L41" s="322"/>
      <c r="M41" s="322"/>
      <c r="N41" s="322"/>
      <c r="O41" s="322"/>
      <c r="P41" s="322"/>
      <c r="Q41" s="324"/>
    </row>
    <row r="42" spans="1:17" x14ac:dyDescent="0.2">
      <c r="A42" s="324"/>
      <c r="Q42" s="324"/>
    </row>
    <row r="43" spans="1:17" x14ac:dyDescent="0.2">
      <c r="A43" s="324"/>
      <c r="C43" s="341" t="s">
        <v>243</v>
      </c>
      <c r="E43" s="340">
        <v>2022</v>
      </c>
      <c r="Q43" s="324"/>
    </row>
    <row r="44" spans="1:17" x14ac:dyDescent="0.2">
      <c r="A44" s="324"/>
      <c r="C44" s="341"/>
      <c r="Q44" s="324"/>
    </row>
    <row r="45" spans="1:17" x14ac:dyDescent="0.2">
      <c r="A45" s="324"/>
      <c r="C45" s="341"/>
      <c r="Q45" s="324"/>
    </row>
    <row r="46" spans="1:17" x14ac:dyDescent="0.2">
      <c r="A46" s="324"/>
      <c r="C46" s="341"/>
      <c r="Q46" s="324"/>
    </row>
    <row r="47" spans="1:17" x14ac:dyDescent="0.2">
      <c r="A47" s="324"/>
      <c r="C47" s="341"/>
      <c r="Q47" s="324"/>
    </row>
    <row r="48" spans="1:17" x14ac:dyDescent="0.2">
      <c r="A48" s="324"/>
      <c r="C48" s="329" t="s">
        <v>187</v>
      </c>
      <c r="Q48" s="324"/>
    </row>
    <row r="49" spans="1:17" x14ac:dyDescent="0.2">
      <c r="A49" s="324"/>
      <c r="Q49" s="324"/>
    </row>
    <row r="50" spans="1:17" x14ac:dyDescent="0.2">
      <c r="A50" s="324"/>
      <c r="C50" s="343" t="s">
        <v>82</v>
      </c>
      <c r="Q50" s="324"/>
    </row>
    <row r="51" spans="1:17" x14ac:dyDescent="0.2">
      <c r="A51" s="324"/>
      <c r="C51" s="344" t="s">
        <v>83</v>
      </c>
      <c r="Q51" s="324"/>
    </row>
    <row r="52" spans="1:17" x14ac:dyDescent="0.2">
      <c r="A52" s="324"/>
      <c r="C52" s="344" t="s">
        <v>287</v>
      </c>
      <c r="Q52" s="324"/>
    </row>
    <row r="53" spans="1:17" x14ac:dyDescent="0.2">
      <c r="A53" s="324"/>
      <c r="Q53" s="324"/>
    </row>
    <row r="54" spans="1:17" x14ac:dyDescent="0.2">
      <c r="A54" s="324"/>
      <c r="Q54" s="324"/>
    </row>
    <row r="55" spans="1:17" x14ac:dyDescent="0.2">
      <c r="A55" s="324"/>
      <c r="Q55" s="324"/>
    </row>
    <row r="56" spans="1:17" x14ac:dyDescent="0.2">
      <c r="A56" s="324"/>
      <c r="Q56" s="324"/>
    </row>
    <row r="57" spans="1:17" x14ac:dyDescent="0.2">
      <c r="A57" s="324"/>
      <c r="B57" s="324"/>
      <c r="C57" s="324"/>
      <c r="D57" s="324"/>
      <c r="E57" s="324"/>
      <c r="F57" s="324"/>
      <c r="G57" s="324"/>
      <c r="H57" s="324"/>
      <c r="I57" s="324"/>
      <c r="J57" s="324"/>
      <c r="K57" s="324"/>
      <c r="L57" s="324"/>
      <c r="M57" s="324"/>
      <c r="N57" s="324"/>
      <c r="O57" s="324"/>
      <c r="P57" s="324"/>
      <c r="Q57" s="324"/>
    </row>
  </sheetData>
  <mergeCells count="3">
    <mergeCell ref="C14:E14"/>
    <mergeCell ref="C12:E12"/>
    <mergeCell ref="C16:E16"/>
  </mergeCells>
  <hyperlinks>
    <hyperlink ref="C16" location="'Stock charts'!A1" display="STOCK CHARTS"/>
    <hyperlink ref="C12" location="'Summary result '!A1" display="SUMMARY RESULT"/>
    <hyperlink ref="C14" location="'Price performance'!A1" display="PRICE PERFORMANCE"/>
    <hyperlink ref="C12:E12" location="ENVIRONMENT!A1" display="ENVIRONMENT"/>
    <hyperlink ref="C14:E14" location="SOCIAL!A1" display="SOCIAL"/>
    <hyperlink ref="C16:E16" location="GOVERNANCE!A1" display="GOVERNANCE"/>
    <hyperlink ref="Q37" r:id="rId1" display="https://www.nornickel.ru/upload/iblock/3b7/file1693.pdf"/>
    <hyperlink ref="Q39" r:id="rId2" display="https://www.nornickel.ru/upload/iblock/4d7/file1688.pdf"/>
    <hyperlink ref="C24" r:id="rId3"/>
    <hyperlink ref="C28" r:id="rId4"/>
    <hyperlink ref="C32" r:id="rId5" display="Сертификаты"/>
    <hyperlink ref="C34" r:id="rId6" location="corporate-codes-and-policies"/>
    <hyperlink ref="C22" r:id="rId7"/>
    <hyperlink ref="F37" r:id="rId8" display="https://ar2021.nornickel.com/"/>
    <hyperlink ref="F39" r:id="rId9" display="https://csr2021.nornickel.ru/en/"/>
    <hyperlink ref="C26" r:id="rId10"/>
    <hyperlink ref="O39" r:id="rId11" display="https://www.nornickel.com/upload/iblock/baa/nn_csr_2013_en_cc_web.pdf"/>
    <hyperlink ref="O37" r:id="rId12" display="https://www.nornickel.com/upload/iblock/62a/ar_2012_eng.pdf"/>
    <hyperlink ref="L37" r:id="rId13" display="https://www.nornickel.com/upload/iblock/7ca/anual_report_2015_nn_en_web.pdf"/>
    <hyperlink ref="K37" r:id="rId14" display="https://www.nornickel.com/upload/iblock/85f/annual_report_2016_nornickel_2_.pdf"/>
    <hyperlink ref="N37" r:id="rId15" display="https://www.nornickel.com/upload/iblock/04e/nn_ar_2013_en_fin_na_20_iyunya.pdf"/>
    <hyperlink ref="N39" r:id="rId16" display="https://www.nornickel.com/upload/iblock/df5/nn_csr_2013_en_cc_web.pdf"/>
    <hyperlink ref="M37" r:id="rId17" display="http://or2014.nornik.ru/en/"/>
    <hyperlink ref="M39" r:id="rId18" display="https://www.nornickel.com/upload/iblock/0d3/2014_nn_cso_eng.pdf"/>
    <hyperlink ref="L39" r:id="rId19" display="https://www.nornickel.com/upload/iblock/04f/nn_cso2015_eng.pdf"/>
    <hyperlink ref="K39" r:id="rId20" display="http://csr2016.nornik.ru/en/company/"/>
    <hyperlink ref="J39" r:id="rId21" display="https://csr2017.nornickel.ru/en/"/>
    <hyperlink ref="J37" r:id="rId22" location="about" display="https://ar2017.nornickel.com/ - about"/>
    <hyperlink ref="I39" r:id="rId23" display="https://csr2018.nornickel.ru/en-US/all_report.html"/>
    <hyperlink ref="I37" r:id="rId24" display="https://ar2018.nornickel.com/"/>
    <hyperlink ref="H39" r:id="rId25" display="https://csr2019.nornickel.ru/en/"/>
    <hyperlink ref="H37" r:id="rId26" display="https://ar2019.nornickel.com/overview/profile/"/>
    <hyperlink ref="G39" r:id="rId27" display="https://csr2020.nornickel.ru/en/"/>
    <hyperlink ref="G37" r:id="rId28" display="https://ar2020.nornickel.com/"/>
    <hyperlink ref="E37" r:id="rId29" display="https://www.nornickel.com/upload/iblock/461/19utieij7n11286t4gj2qwyld0qt36hc/2022_Annual_Report_of_PJSC_MMC_Norilsk_Nickel_eng.pdf"/>
    <hyperlink ref="E39" r:id="rId30" display="https://www.nornickel.com/upload/iblock/213/mtbdolrkqb3q8lfmb7jyonwqgey5wxb5/nn_cso_2022_eng.pdf"/>
    <hyperlink ref="E43" r:id="rId31" display="https://www.nornickel.com/upload/files/en/investors/reports-and-results/annual-reports/responsible_supply_chain_report_eng.pdf"/>
    <hyperlink ref="E41" r:id="rId32" display="https://www.nornickel.com/upload/files/en/investors/reports-and-results/annual-reports/nn_human_rights_eng.pdf"/>
    <hyperlink ref="C30" r:id="rId33"/>
  </hyperlinks>
  <pageMargins left="0.70866141732283472" right="0.70866141732283472" top="0.74803149606299213" bottom="0.74803149606299213" header="0.31496062992125984" footer="0.31496062992125984"/>
  <pageSetup paperSize="9" scale="61" orientation="portrait" r:id="rId34"/>
  <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176C3"/>
  </sheetPr>
  <dimension ref="A1:P136"/>
  <sheetViews>
    <sheetView showGridLines="0" zoomScale="85" zoomScaleNormal="85" zoomScaleSheetLayoutView="100" workbookViewId="0">
      <pane xSplit="2" ySplit="2" topLeftCell="C3" activePane="bottomRight" state="frozen"/>
      <selection pane="topRight" activeCell="C1" sqref="C1"/>
      <selection pane="bottomLeft" activeCell="A4" sqref="A4"/>
      <selection pane="bottomRight" activeCell="F18" sqref="F18"/>
    </sheetView>
  </sheetViews>
  <sheetFormatPr defaultColWidth="9.140625" defaultRowHeight="14.25" x14ac:dyDescent="0.2"/>
  <cols>
    <col min="1" max="1" width="53.85546875" style="10" customWidth="1"/>
    <col min="2" max="2" width="15.5703125" style="10" bestFit="1" customWidth="1"/>
    <col min="3" max="6" width="8.7109375" style="10" customWidth="1"/>
    <col min="7" max="8" width="11.28515625" style="10" bestFit="1" customWidth="1"/>
    <col min="9" max="9" width="11.5703125" style="10" customWidth="1"/>
    <col min="10" max="12" width="11.28515625" style="10" bestFit="1" customWidth="1"/>
    <col min="13" max="13" width="12.42578125" style="10" customWidth="1"/>
    <col min="14" max="14" width="11.28515625" style="166" bestFit="1" customWidth="1"/>
    <col min="15" max="16384" width="9.140625" style="10"/>
  </cols>
  <sheetData>
    <row r="1" spans="1:16" ht="15.75" customHeight="1" x14ac:dyDescent="0.2">
      <c r="A1" s="6" t="s">
        <v>95</v>
      </c>
      <c r="B1" s="7" t="s">
        <v>9</v>
      </c>
      <c r="C1" s="8">
        <v>2011</v>
      </c>
      <c r="D1" s="8">
        <v>2012</v>
      </c>
      <c r="E1" s="8">
        <v>2013</v>
      </c>
      <c r="F1" s="8">
        <v>2014</v>
      </c>
      <c r="G1" s="8">
        <v>2015</v>
      </c>
      <c r="H1" s="8">
        <v>2016</v>
      </c>
      <c r="I1" s="8">
        <v>2017</v>
      </c>
      <c r="J1" s="8">
        <v>2018</v>
      </c>
      <c r="K1" s="8">
        <v>2019</v>
      </c>
      <c r="L1" s="8">
        <v>2020</v>
      </c>
      <c r="M1" s="9" t="s">
        <v>245</v>
      </c>
      <c r="N1" s="9" t="s">
        <v>235</v>
      </c>
    </row>
    <row r="2" spans="1:16" ht="15.75" customHeight="1" x14ac:dyDescent="0.2">
      <c r="A2" s="6"/>
      <c r="B2" s="7"/>
      <c r="C2" s="8"/>
      <c r="D2" s="8"/>
      <c r="E2" s="8"/>
      <c r="F2" s="8"/>
      <c r="G2" s="8"/>
      <c r="H2" s="8"/>
      <c r="I2" s="8"/>
      <c r="J2" s="8"/>
      <c r="K2" s="8"/>
      <c r="L2" s="8"/>
      <c r="M2" s="9"/>
      <c r="N2" s="9"/>
      <c r="P2" s="11" t="s">
        <v>241</v>
      </c>
    </row>
    <row r="3" spans="1:16" ht="5.25" customHeight="1" x14ac:dyDescent="0.2">
      <c r="A3" s="12"/>
      <c r="B3" s="13"/>
      <c r="C3" s="14"/>
      <c r="D3" s="14"/>
      <c r="E3" s="14"/>
      <c r="F3" s="14"/>
      <c r="G3" s="14"/>
      <c r="H3" s="15"/>
      <c r="I3" s="15"/>
      <c r="J3" s="15"/>
      <c r="K3" s="15"/>
      <c r="L3" s="15"/>
      <c r="N3" s="14"/>
    </row>
    <row r="4" spans="1:16" x14ac:dyDescent="0.2">
      <c r="A4" s="16" t="s">
        <v>3</v>
      </c>
      <c r="B4" s="17"/>
      <c r="C4" s="18"/>
      <c r="D4" s="18"/>
      <c r="E4" s="18"/>
      <c r="F4" s="18"/>
      <c r="G4" s="18"/>
      <c r="H4" s="18"/>
      <c r="I4" s="19"/>
      <c r="J4" s="19"/>
      <c r="K4" s="19"/>
      <c r="L4" s="19"/>
      <c r="M4" s="18"/>
      <c r="N4" s="18"/>
    </row>
    <row r="5" spans="1:16" x14ac:dyDescent="0.2">
      <c r="A5" s="20" t="s">
        <v>156</v>
      </c>
      <c r="B5" s="21"/>
      <c r="C5" s="22"/>
      <c r="D5" s="22"/>
      <c r="E5" s="22"/>
      <c r="F5" s="22"/>
      <c r="G5" s="22"/>
      <c r="H5" s="23"/>
      <c r="I5" s="23"/>
      <c r="J5" s="23"/>
      <c r="K5" s="23"/>
      <c r="L5" s="23"/>
      <c r="M5" s="22"/>
      <c r="N5" s="24"/>
    </row>
    <row r="6" spans="1:16" s="30" customFormat="1" x14ac:dyDescent="0.2">
      <c r="A6" s="25" t="s">
        <v>193</v>
      </c>
      <c r="B6" s="26"/>
      <c r="C6" s="27">
        <v>1946.2</v>
      </c>
      <c r="D6" s="27">
        <v>1938.49</v>
      </c>
      <c r="E6" s="27">
        <v>1912.03</v>
      </c>
      <c r="F6" s="28">
        <v>1828.09</v>
      </c>
      <c r="G6" s="27">
        <v>1883.24</v>
      </c>
      <c r="H6" s="27">
        <f>H7+H8+H9+H10</f>
        <v>1787.5800000000002</v>
      </c>
      <c r="I6" s="27">
        <v>1705.0029999999999</v>
      </c>
      <c r="J6" s="27">
        <v>1789.008</v>
      </c>
      <c r="K6" s="27">
        <f>K7+K8+K9+K10</f>
        <v>1819.1759940000002</v>
      </c>
      <c r="L6" s="29">
        <f>L7+L8+L9+L10</f>
        <v>1857.510385</v>
      </c>
      <c r="M6" s="29">
        <v>1603.96</v>
      </c>
      <c r="N6" s="29">
        <f>N7+N8+N9+N10</f>
        <v>1781.5768579999899</v>
      </c>
    </row>
    <row r="7" spans="1:16" s="30" customFormat="1" ht="17.25" x14ac:dyDescent="0.3">
      <c r="A7" s="31" t="s">
        <v>246</v>
      </c>
      <c r="B7" s="26" t="s">
        <v>5</v>
      </c>
      <c r="C7" s="32">
        <v>1911.71</v>
      </c>
      <c r="D7" s="32">
        <v>1908.01</v>
      </c>
      <c r="E7" s="32">
        <v>1881.06</v>
      </c>
      <c r="F7" s="32">
        <v>1797.18</v>
      </c>
      <c r="G7" s="32">
        <v>1853.92</v>
      </c>
      <c r="H7" s="32">
        <v>1758.18</v>
      </c>
      <c r="I7" s="32">
        <v>1675.8510000000001</v>
      </c>
      <c r="J7" s="32">
        <v>1764.65</v>
      </c>
      <c r="K7" s="32">
        <v>1798.638854</v>
      </c>
      <c r="L7" s="33">
        <v>1836.88</v>
      </c>
      <c r="M7" s="34">
        <v>1585.2</v>
      </c>
      <c r="N7" s="34">
        <v>1764.8934039999899</v>
      </c>
    </row>
    <row r="8" spans="1:16" s="30" customFormat="1" x14ac:dyDescent="0.2">
      <c r="A8" s="31" t="s">
        <v>132</v>
      </c>
      <c r="B8" s="26" t="s">
        <v>5</v>
      </c>
      <c r="C8" s="33">
        <v>1.65</v>
      </c>
      <c r="D8" s="33">
        <v>1.43</v>
      </c>
      <c r="E8" s="33">
        <v>1.57</v>
      </c>
      <c r="F8" s="33">
        <v>1.61</v>
      </c>
      <c r="G8" s="33">
        <v>1.64</v>
      </c>
      <c r="H8" s="33">
        <v>1.52</v>
      </c>
      <c r="I8" s="33">
        <v>1.5580000000000001</v>
      </c>
      <c r="J8" s="33">
        <v>0.6</v>
      </c>
      <c r="K8" s="33">
        <v>0.54869600000000007</v>
      </c>
      <c r="L8" s="33">
        <v>0.59596799999999994</v>
      </c>
      <c r="M8" s="34">
        <v>0.8</v>
      </c>
      <c r="N8" s="34">
        <v>1.4</v>
      </c>
    </row>
    <row r="9" spans="1:16" s="30" customFormat="1" x14ac:dyDescent="0.2">
      <c r="A9" s="31" t="s">
        <v>133</v>
      </c>
      <c r="B9" s="26" t="s">
        <v>5</v>
      </c>
      <c r="C9" s="33">
        <v>10.59</v>
      </c>
      <c r="D9" s="33">
        <v>8.89</v>
      </c>
      <c r="E9" s="33">
        <v>9.98</v>
      </c>
      <c r="F9" s="33">
        <v>9.68</v>
      </c>
      <c r="G9" s="33">
        <v>8.9499999999999993</v>
      </c>
      <c r="H9" s="33">
        <v>6.18</v>
      </c>
      <c r="I9" s="33">
        <v>6.0579999999999998</v>
      </c>
      <c r="J9" s="33">
        <v>5.5460000000000003</v>
      </c>
      <c r="K9" s="33">
        <v>4.2093249999999998</v>
      </c>
      <c r="L9" s="32">
        <v>4.0657245</v>
      </c>
      <c r="M9" s="35">
        <v>5.3</v>
      </c>
      <c r="N9" s="35">
        <v>7.1104539999999998</v>
      </c>
    </row>
    <row r="10" spans="1:16" s="30" customFormat="1" x14ac:dyDescent="0.2">
      <c r="A10" s="31" t="s">
        <v>134</v>
      </c>
      <c r="B10" s="26" t="s">
        <v>5</v>
      </c>
      <c r="C10" s="33">
        <v>22.250000000000011</v>
      </c>
      <c r="D10" s="33">
        <v>20.160000000000018</v>
      </c>
      <c r="E10" s="33">
        <v>19.420000000000027</v>
      </c>
      <c r="F10" s="33">
        <v>19.619999999999855</v>
      </c>
      <c r="G10" s="33">
        <v>18.729999999999936</v>
      </c>
      <c r="H10" s="33">
        <v>21.7</v>
      </c>
      <c r="I10" s="33">
        <v>21.535999999999817</v>
      </c>
      <c r="J10" s="33">
        <v>18.2</v>
      </c>
      <c r="K10" s="33">
        <v>15.779119000000001</v>
      </c>
      <c r="L10" s="32">
        <v>15.968692499999934</v>
      </c>
      <c r="M10" s="35">
        <v>12.6</v>
      </c>
      <c r="N10" s="35">
        <v>8.173</v>
      </c>
    </row>
    <row r="11" spans="1:16" s="30" customFormat="1" x14ac:dyDescent="0.2">
      <c r="A11" s="25" t="s">
        <v>194</v>
      </c>
      <c r="B11" s="26"/>
      <c r="C11" s="29">
        <f t="shared" ref="C11:H11" si="0">C12+C13+C14+C15</f>
        <v>147.37</v>
      </c>
      <c r="D11" s="29">
        <f t="shared" si="0"/>
        <v>148.58000000000001</v>
      </c>
      <c r="E11" s="29">
        <f t="shared" si="0"/>
        <v>164.62</v>
      </c>
      <c r="F11" s="29">
        <f t="shared" si="0"/>
        <v>165.44</v>
      </c>
      <c r="G11" s="29">
        <f t="shared" si="0"/>
        <v>169.79000000000002</v>
      </c>
      <c r="H11" s="29">
        <f t="shared" si="0"/>
        <v>132.9</v>
      </c>
      <c r="I11" s="29">
        <v>121.88</v>
      </c>
      <c r="J11" s="29">
        <f>J12+J13+J14+J15</f>
        <v>117.49999999999999</v>
      </c>
      <c r="K11" s="29">
        <f>K12+K13+K14+K15</f>
        <v>110.78898000000001</v>
      </c>
      <c r="L11" s="29">
        <f>L12+L13+L14+L15</f>
        <v>83.373542000000015</v>
      </c>
      <c r="M11" s="29">
        <v>19.600000000000001</v>
      </c>
      <c r="N11" s="29">
        <f>N12+N13+N14+N15</f>
        <v>16.399500656000001</v>
      </c>
    </row>
    <row r="12" spans="1:16" s="30" customFormat="1" ht="17.25" x14ac:dyDescent="0.3">
      <c r="A12" s="31" t="s">
        <v>246</v>
      </c>
      <c r="B12" s="26" t="s">
        <v>5</v>
      </c>
      <c r="C12" s="33">
        <v>134.32</v>
      </c>
      <c r="D12" s="33">
        <v>136.06</v>
      </c>
      <c r="E12" s="33">
        <v>151.58000000000001</v>
      </c>
      <c r="F12" s="33">
        <v>150.19999999999999</v>
      </c>
      <c r="G12" s="33">
        <v>155.05000000000001</v>
      </c>
      <c r="H12" s="33">
        <v>119.72</v>
      </c>
      <c r="I12" s="33">
        <v>109.07</v>
      </c>
      <c r="J12" s="33">
        <v>104.8</v>
      </c>
      <c r="K12" s="33">
        <v>99.363</v>
      </c>
      <c r="L12" s="33">
        <v>73.23</v>
      </c>
      <c r="M12" s="34">
        <v>15.8</v>
      </c>
      <c r="N12" s="34">
        <v>13.135661703</v>
      </c>
    </row>
    <row r="13" spans="1:16" s="30" customFormat="1" x14ac:dyDescent="0.2">
      <c r="A13" s="31" t="s">
        <v>132</v>
      </c>
      <c r="B13" s="26" t="s">
        <v>5</v>
      </c>
      <c r="C13" s="33">
        <v>1.05</v>
      </c>
      <c r="D13" s="33">
        <v>1.1200000000000001</v>
      </c>
      <c r="E13" s="33">
        <v>1.1499999999999999</v>
      </c>
      <c r="F13" s="33">
        <v>1.1200000000000001</v>
      </c>
      <c r="G13" s="33">
        <v>1.18</v>
      </c>
      <c r="H13" s="33">
        <v>1.1200000000000001</v>
      </c>
      <c r="I13" s="33">
        <v>1.2330000000000001</v>
      </c>
      <c r="J13" s="33">
        <v>1.8</v>
      </c>
      <c r="K13" s="33">
        <v>1.75</v>
      </c>
      <c r="L13" s="33">
        <v>1.6263049999999999</v>
      </c>
      <c r="M13" s="34">
        <v>1.4</v>
      </c>
      <c r="N13" s="34">
        <v>1.447708</v>
      </c>
    </row>
    <row r="14" spans="1:16" s="30" customFormat="1" x14ac:dyDescent="0.2">
      <c r="A14" s="31" t="s">
        <v>133</v>
      </c>
      <c r="B14" s="26" t="s">
        <v>5</v>
      </c>
      <c r="C14" s="33">
        <v>10.029999999999999</v>
      </c>
      <c r="D14" s="33">
        <v>9.74</v>
      </c>
      <c r="E14" s="33">
        <v>9.98</v>
      </c>
      <c r="F14" s="33">
        <v>11.76</v>
      </c>
      <c r="G14" s="33">
        <v>10.61</v>
      </c>
      <c r="H14" s="33">
        <v>7.38</v>
      </c>
      <c r="I14" s="33">
        <v>6.8730000000000002</v>
      </c>
      <c r="J14" s="33">
        <v>7.6</v>
      </c>
      <c r="K14" s="33">
        <v>6.9829999999999997</v>
      </c>
      <c r="L14" s="33">
        <v>6.1253070000000003</v>
      </c>
      <c r="M14" s="34">
        <v>1.2</v>
      </c>
      <c r="N14" s="34">
        <v>0.83613095299999995</v>
      </c>
    </row>
    <row r="15" spans="1:16" s="30" customFormat="1" x14ac:dyDescent="0.2">
      <c r="A15" s="31" t="s">
        <v>134</v>
      </c>
      <c r="B15" s="26" t="s">
        <v>5</v>
      </c>
      <c r="C15" s="33">
        <v>1.9700000000000113</v>
      </c>
      <c r="D15" s="33">
        <v>1.660000000000009</v>
      </c>
      <c r="E15" s="33">
        <v>1.9099999999999913</v>
      </c>
      <c r="F15" s="33">
        <v>2.3600000000000083</v>
      </c>
      <c r="G15" s="33">
        <v>2.9499999999999815</v>
      </c>
      <c r="H15" s="33">
        <v>4.6800000000000059</v>
      </c>
      <c r="I15" s="33">
        <v>4.7040000000000015</v>
      </c>
      <c r="J15" s="33">
        <v>3.3</v>
      </c>
      <c r="K15" s="33">
        <v>2.6929799999999999</v>
      </c>
      <c r="L15" s="33">
        <v>2.3919300000000074</v>
      </c>
      <c r="M15" s="34">
        <v>1.1000000000000001</v>
      </c>
      <c r="N15" s="34">
        <v>0.98</v>
      </c>
    </row>
    <row r="16" spans="1:16" s="30" customFormat="1" x14ac:dyDescent="0.2">
      <c r="A16" s="25" t="s">
        <v>131</v>
      </c>
      <c r="B16" s="26"/>
      <c r="C16" s="29">
        <f t="shared" ref="C16:H16" si="1">C17+C18+C19+C20</f>
        <v>10.120000000000005</v>
      </c>
      <c r="D16" s="29">
        <f t="shared" si="1"/>
        <v>10.509999999999909</v>
      </c>
      <c r="E16" s="29">
        <f t="shared" si="1"/>
        <v>20.440000000000168</v>
      </c>
      <c r="F16" s="36">
        <f>F17+F18+F19+F20</f>
        <v>14.799999999999876</v>
      </c>
      <c r="G16" s="29">
        <f t="shared" si="1"/>
        <v>10.489999999999977</v>
      </c>
      <c r="H16" s="29">
        <f t="shared" si="1"/>
        <v>15.970000000000113</v>
      </c>
      <c r="I16" s="29">
        <v>19.916</v>
      </c>
      <c r="J16" s="37">
        <v>20.175000000000001</v>
      </c>
      <c r="K16" s="37">
        <f>K17+K18+K19+K20</f>
        <v>22.692431999999997</v>
      </c>
      <c r="L16" s="37">
        <f>L17+L18+L19+L20</f>
        <v>27.227504840000002</v>
      </c>
      <c r="M16" s="37">
        <v>23.4</v>
      </c>
      <c r="N16" s="37">
        <f>N17+N18+N19+N20</f>
        <v>21.41410929133999</v>
      </c>
    </row>
    <row r="17" spans="1:14" s="30" customFormat="1" ht="17.25" x14ac:dyDescent="0.3">
      <c r="A17" s="31" t="s">
        <v>246</v>
      </c>
      <c r="B17" s="26" t="s">
        <v>5</v>
      </c>
      <c r="C17" s="33">
        <v>0.12000000000006139</v>
      </c>
      <c r="D17" s="33">
        <v>0.1400000000000432</v>
      </c>
      <c r="E17" s="33">
        <v>0.20999999999995111</v>
      </c>
      <c r="F17" s="33">
        <v>0.19999999999987494</v>
      </c>
      <c r="G17" s="33">
        <v>0.13999999999981583</v>
      </c>
      <c r="H17" s="33">
        <v>6.9999999999964757E-2</v>
      </c>
      <c r="I17" s="33">
        <v>8.6915999999999993E-2</v>
      </c>
      <c r="J17" s="38">
        <v>0.154</v>
      </c>
      <c r="K17" s="38">
        <v>0.135432</v>
      </c>
      <c r="L17" s="39">
        <v>0.65265728099999998</v>
      </c>
      <c r="M17" s="40">
        <v>0.43</v>
      </c>
      <c r="N17" s="40">
        <v>0.38022646800000004</v>
      </c>
    </row>
    <row r="18" spans="1:14" s="30" customFormat="1" x14ac:dyDescent="0.2">
      <c r="A18" s="31" t="s">
        <v>132</v>
      </c>
      <c r="B18" s="26" t="s">
        <v>5</v>
      </c>
      <c r="C18" s="33">
        <v>7.13</v>
      </c>
      <c r="D18" s="33">
        <v>6.97</v>
      </c>
      <c r="E18" s="33">
        <v>9.41</v>
      </c>
      <c r="F18" s="33">
        <v>8.8000000000000007</v>
      </c>
      <c r="G18" s="33">
        <v>7.02</v>
      </c>
      <c r="H18" s="33">
        <v>7.4799999999999995</v>
      </c>
      <c r="I18" s="33">
        <v>8.7029999999999994</v>
      </c>
      <c r="J18" s="38">
        <v>8.8460000000000001</v>
      </c>
      <c r="K18" s="38">
        <v>8.0142039999999994</v>
      </c>
      <c r="L18" s="32">
        <v>7.7398651699999981</v>
      </c>
      <c r="M18" s="35">
        <v>9.1199999999999992</v>
      </c>
      <c r="N18" s="35">
        <v>6.8438707969999992</v>
      </c>
    </row>
    <row r="19" spans="1:14" s="30" customFormat="1" x14ac:dyDescent="0.2">
      <c r="A19" s="31" t="s">
        <v>133</v>
      </c>
      <c r="B19" s="26" t="s">
        <v>5</v>
      </c>
      <c r="C19" s="33">
        <v>0.54000000000000092</v>
      </c>
      <c r="D19" s="33">
        <v>0.56999999999999851</v>
      </c>
      <c r="E19" s="33">
        <v>0.66999999999999815</v>
      </c>
      <c r="F19" s="33">
        <v>1.6</v>
      </c>
      <c r="G19" s="33">
        <v>1.110000000000003</v>
      </c>
      <c r="H19" s="33">
        <v>0.7400000000000011</v>
      </c>
      <c r="I19" s="33">
        <v>1.08</v>
      </c>
      <c r="J19" s="38">
        <v>1.39</v>
      </c>
      <c r="K19" s="38">
        <v>2.1131480000000002</v>
      </c>
      <c r="L19" s="33">
        <v>4.3602903799999995</v>
      </c>
      <c r="M19" s="34">
        <v>2.31</v>
      </c>
      <c r="N19" s="34">
        <v>2.7900120263399901</v>
      </c>
    </row>
    <row r="20" spans="1:14" s="30" customFormat="1" ht="15" thickBot="1" x14ac:dyDescent="0.25">
      <c r="A20" s="41" t="s">
        <v>134</v>
      </c>
      <c r="B20" s="42" t="s">
        <v>5</v>
      </c>
      <c r="C20" s="43">
        <v>2.3299999999999432</v>
      </c>
      <c r="D20" s="43">
        <v>2.8299999999998686</v>
      </c>
      <c r="E20" s="43">
        <v>10.150000000000217</v>
      </c>
      <c r="F20" s="43">
        <v>4.2</v>
      </c>
      <c r="G20" s="43">
        <v>2.2200000000001587</v>
      </c>
      <c r="H20" s="43">
        <v>7.6800000000001463</v>
      </c>
      <c r="I20" s="43">
        <v>10.046084000000002</v>
      </c>
      <c r="J20" s="44">
        <v>9.7850000000000001</v>
      </c>
      <c r="K20" s="44">
        <v>12.429647999999998</v>
      </c>
      <c r="L20" s="43">
        <v>14.474692009000004</v>
      </c>
      <c r="M20" s="45">
        <v>11.55</v>
      </c>
      <c r="N20" s="45">
        <v>11.4</v>
      </c>
    </row>
    <row r="21" spans="1:14" s="30" customFormat="1" ht="15" thickTop="1" x14ac:dyDescent="0.2">
      <c r="A21" s="25" t="s">
        <v>209</v>
      </c>
      <c r="B21" s="46"/>
      <c r="C21" s="27">
        <f t="shared" ref="C21:L21" si="2">C6+C11+C16</f>
        <v>2103.69</v>
      </c>
      <c r="D21" s="27">
        <f t="shared" si="2"/>
        <v>2097.58</v>
      </c>
      <c r="E21" s="27">
        <f t="shared" si="2"/>
        <v>2097.09</v>
      </c>
      <c r="F21" s="27">
        <f t="shared" si="2"/>
        <v>2008.33</v>
      </c>
      <c r="G21" s="27">
        <f t="shared" si="2"/>
        <v>2063.52</v>
      </c>
      <c r="H21" s="27">
        <f t="shared" si="2"/>
        <v>1936.4500000000003</v>
      </c>
      <c r="I21" s="27">
        <f t="shared" si="2"/>
        <v>1846.7989999999998</v>
      </c>
      <c r="J21" s="27">
        <f t="shared" si="2"/>
        <v>1926.683</v>
      </c>
      <c r="K21" s="28">
        <f t="shared" si="2"/>
        <v>1952.6574060000003</v>
      </c>
      <c r="L21" s="27">
        <f t="shared" si="2"/>
        <v>1968.11143184</v>
      </c>
      <c r="M21" s="27">
        <f>M22+M23+M24+M25</f>
        <v>1647.0000000000002</v>
      </c>
      <c r="N21" s="27">
        <f>N22+N23+N24+N25</f>
        <v>1819.3904679473301</v>
      </c>
    </row>
    <row r="22" spans="1:14" s="53" customFormat="1" ht="17.25" x14ac:dyDescent="0.3">
      <c r="A22" s="47" t="s">
        <v>247</v>
      </c>
      <c r="B22" s="48" t="s">
        <v>5</v>
      </c>
      <c r="C22" s="49">
        <v>2046.15</v>
      </c>
      <c r="D22" s="49">
        <v>2044.21</v>
      </c>
      <c r="E22" s="49">
        <v>2032.85</v>
      </c>
      <c r="F22" s="49">
        <v>1947.58</v>
      </c>
      <c r="G22" s="49">
        <v>2009.11</v>
      </c>
      <c r="H22" s="49">
        <v>1877.97</v>
      </c>
      <c r="I22" s="50">
        <v>1785.007916</v>
      </c>
      <c r="J22" s="50">
        <v>1869.604</v>
      </c>
      <c r="K22" s="49">
        <v>1898.1372860000001</v>
      </c>
      <c r="L22" s="51">
        <v>1910.7626572810002</v>
      </c>
      <c r="M22" s="52">
        <v>1601.4</v>
      </c>
      <c r="N22" s="52">
        <f>N7+N12+N17</f>
        <v>1778.4092921709901</v>
      </c>
    </row>
    <row r="23" spans="1:14" s="53" customFormat="1" x14ac:dyDescent="0.2">
      <c r="A23" s="47" t="s">
        <v>132</v>
      </c>
      <c r="B23" s="48" t="s">
        <v>5</v>
      </c>
      <c r="C23" s="51">
        <v>9.83</v>
      </c>
      <c r="D23" s="51">
        <v>9.52</v>
      </c>
      <c r="E23" s="51">
        <v>12.13</v>
      </c>
      <c r="F23" s="51">
        <v>11.530000000000001</v>
      </c>
      <c r="G23" s="51">
        <v>9.84</v>
      </c>
      <c r="H23" s="51">
        <v>10.119999999999999</v>
      </c>
      <c r="I23" s="54">
        <v>11.494</v>
      </c>
      <c r="J23" s="54">
        <v>11.246</v>
      </c>
      <c r="K23" s="49">
        <v>10.312899999999999</v>
      </c>
      <c r="L23" s="51">
        <v>9.9621381699999976</v>
      </c>
      <c r="M23" s="52">
        <v>11.4</v>
      </c>
      <c r="N23" s="52">
        <f>N8+N13+N18</f>
        <v>9.6915787969999982</v>
      </c>
    </row>
    <row r="24" spans="1:14" s="53" customFormat="1" x14ac:dyDescent="0.2">
      <c r="A24" s="47" t="s">
        <v>133</v>
      </c>
      <c r="B24" s="48" t="s">
        <v>5</v>
      </c>
      <c r="C24" s="51">
        <v>21.16</v>
      </c>
      <c r="D24" s="51">
        <v>19.2</v>
      </c>
      <c r="E24" s="51">
        <v>20.63</v>
      </c>
      <c r="F24" s="51">
        <v>23.1</v>
      </c>
      <c r="G24" s="51">
        <v>20.67</v>
      </c>
      <c r="H24" s="51">
        <v>14.3</v>
      </c>
      <c r="I24" s="54">
        <v>14.011000000000001</v>
      </c>
      <c r="J24" s="54">
        <v>14.536000000000001</v>
      </c>
      <c r="K24" s="49">
        <v>13.305473000000001</v>
      </c>
      <c r="L24" s="51">
        <v>14.55132188</v>
      </c>
      <c r="M24" s="52">
        <v>8.9</v>
      </c>
      <c r="N24" s="52">
        <f>N9+N14+N19</f>
        <v>10.736596979339989</v>
      </c>
    </row>
    <row r="25" spans="1:14" s="53" customFormat="1" x14ac:dyDescent="0.2">
      <c r="A25" s="47" t="s">
        <v>134</v>
      </c>
      <c r="B25" s="48" t="s">
        <v>5</v>
      </c>
      <c r="C25" s="51">
        <v>26.549999999999965</v>
      </c>
      <c r="D25" s="51">
        <v>24.649999999999896</v>
      </c>
      <c r="E25" s="51">
        <v>31.480000000000235</v>
      </c>
      <c r="F25" s="51">
        <v>26.179999999999861</v>
      </c>
      <c r="G25" s="51">
        <v>23.900000000000077</v>
      </c>
      <c r="H25" s="51">
        <v>34.050000000000026</v>
      </c>
      <c r="I25" s="54">
        <v>36.286083999999818</v>
      </c>
      <c r="J25" s="54">
        <v>31.285</v>
      </c>
      <c r="K25" s="49">
        <v>30.901747</v>
      </c>
      <c r="L25" s="49">
        <v>30.901747</v>
      </c>
      <c r="M25" s="55">
        <v>25.3</v>
      </c>
      <c r="N25" s="55">
        <f>N10+N15+N20</f>
        <v>20.553000000000001</v>
      </c>
    </row>
    <row r="26" spans="1:14" ht="15.75" x14ac:dyDescent="0.2">
      <c r="A26" s="20" t="s">
        <v>248</v>
      </c>
      <c r="B26" s="56"/>
      <c r="C26" s="57"/>
      <c r="D26" s="57"/>
      <c r="E26" s="57"/>
      <c r="F26" s="57"/>
      <c r="G26" s="57"/>
      <c r="H26" s="57"/>
      <c r="I26" s="57"/>
      <c r="J26" s="57"/>
      <c r="K26" s="57"/>
      <c r="L26" s="57"/>
      <c r="M26" s="57"/>
      <c r="N26" s="22"/>
    </row>
    <row r="27" spans="1:14" s="61" customFormat="1" x14ac:dyDescent="0.2">
      <c r="A27" s="31" t="s">
        <v>135</v>
      </c>
      <c r="B27" s="26" t="s">
        <v>244</v>
      </c>
      <c r="C27" s="58" t="s">
        <v>65</v>
      </c>
      <c r="D27" s="58" t="s">
        <v>65</v>
      </c>
      <c r="E27" s="58" t="s">
        <v>65</v>
      </c>
      <c r="F27" s="58" t="s">
        <v>65</v>
      </c>
      <c r="G27" s="58" t="s">
        <v>65</v>
      </c>
      <c r="H27" s="58" t="s">
        <v>65</v>
      </c>
      <c r="I27" s="59">
        <v>10200</v>
      </c>
      <c r="J27" s="60">
        <v>9611</v>
      </c>
      <c r="K27" s="60">
        <f>K28+K29</f>
        <v>9502</v>
      </c>
      <c r="L27" s="60">
        <f>L28+L29</f>
        <v>9202.7919999999995</v>
      </c>
      <c r="M27" s="60">
        <f>M28+M29</f>
        <v>9820.2723000000005</v>
      </c>
      <c r="N27" s="60">
        <f>N28+N29</f>
        <v>9331.1260000000002</v>
      </c>
    </row>
    <row r="28" spans="1:14" s="61" customFormat="1" x14ac:dyDescent="0.2">
      <c r="A28" s="62" t="s">
        <v>157</v>
      </c>
      <c r="B28" s="26" t="s">
        <v>244</v>
      </c>
      <c r="C28" s="58" t="s">
        <v>65</v>
      </c>
      <c r="D28" s="58" t="s">
        <v>65</v>
      </c>
      <c r="E28" s="58" t="s">
        <v>65</v>
      </c>
      <c r="F28" s="58" t="s">
        <v>65</v>
      </c>
      <c r="G28" s="58" t="s">
        <v>65</v>
      </c>
      <c r="H28" s="58" t="s">
        <v>65</v>
      </c>
      <c r="I28" s="58" t="s">
        <v>65</v>
      </c>
      <c r="J28" s="58" t="s">
        <v>65</v>
      </c>
      <c r="K28" s="63">
        <v>8701</v>
      </c>
      <c r="L28" s="63">
        <v>7959.21</v>
      </c>
      <c r="M28" s="63">
        <v>8479</v>
      </c>
      <c r="N28" s="63">
        <v>8077.4</v>
      </c>
    </row>
    <row r="29" spans="1:14" s="61" customFormat="1" ht="28.5" x14ac:dyDescent="0.2">
      <c r="A29" s="64" t="s">
        <v>158</v>
      </c>
      <c r="B29" s="26" t="s">
        <v>244</v>
      </c>
      <c r="C29" s="58" t="s">
        <v>65</v>
      </c>
      <c r="D29" s="58" t="s">
        <v>65</v>
      </c>
      <c r="E29" s="58" t="s">
        <v>65</v>
      </c>
      <c r="F29" s="58" t="s">
        <v>65</v>
      </c>
      <c r="G29" s="58" t="s">
        <v>65</v>
      </c>
      <c r="H29" s="58" t="s">
        <v>65</v>
      </c>
      <c r="I29" s="58" t="s">
        <v>65</v>
      </c>
      <c r="J29" s="58" t="s">
        <v>65</v>
      </c>
      <c r="K29" s="63">
        <v>801</v>
      </c>
      <c r="L29" s="63">
        <v>1243.5820000000001</v>
      </c>
      <c r="M29" s="63">
        <v>1341.2723000000001</v>
      </c>
      <c r="N29" s="63">
        <v>1253.7260000000001</v>
      </c>
    </row>
    <row r="30" spans="1:14" s="61" customFormat="1" ht="15" thickBot="1" x14ac:dyDescent="0.25">
      <c r="A30" s="41" t="s">
        <v>118</v>
      </c>
      <c r="B30" s="42" t="s">
        <v>244</v>
      </c>
      <c r="C30" s="65" t="s">
        <v>65</v>
      </c>
      <c r="D30" s="65" t="s">
        <v>65</v>
      </c>
      <c r="E30" s="65" t="s">
        <v>65</v>
      </c>
      <c r="F30" s="65" t="s">
        <v>65</v>
      </c>
      <c r="G30" s="65" t="s">
        <v>65</v>
      </c>
      <c r="H30" s="65" t="s">
        <v>65</v>
      </c>
      <c r="I30" s="66">
        <v>100</v>
      </c>
      <c r="J30" s="67">
        <v>327</v>
      </c>
      <c r="K30" s="67">
        <v>450</v>
      </c>
      <c r="L30" s="67">
        <v>495.77</v>
      </c>
      <c r="M30" s="68">
        <v>490.44</v>
      </c>
      <c r="N30" s="68">
        <v>523.06299999999999</v>
      </c>
    </row>
    <row r="31" spans="1:14" s="73" customFormat="1" ht="15" thickTop="1" x14ac:dyDescent="0.2">
      <c r="A31" s="69" t="s">
        <v>210</v>
      </c>
      <c r="B31" s="46" t="s">
        <v>244</v>
      </c>
      <c r="C31" s="70" t="s">
        <v>65</v>
      </c>
      <c r="D31" s="70" t="s">
        <v>65</v>
      </c>
      <c r="E31" s="70" t="s">
        <v>65</v>
      </c>
      <c r="F31" s="70" t="s">
        <v>65</v>
      </c>
      <c r="G31" s="70" t="s">
        <v>65</v>
      </c>
      <c r="H31" s="70" t="s">
        <v>65</v>
      </c>
      <c r="I31" s="71">
        <f t="shared" ref="I31:N31" si="3">I27+I30</f>
        <v>10300</v>
      </c>
      <c r="J31" s="72">
        <f t="shared" si="3"/>
        <v>9938</v>
      </c>
      <c r="K31" s="72">
        <f t="shared" si="3"/>
        <v>9952</v>
      </c>
      <c r="L31" s="72">
        <f t="shared" si="3"/>
        <v>9698.5619999999999</v>
      </c>
      <c r="M31" s="72">
        <f t="shared" si="3"/>
        <v>10310.712300000001</v>
      </c>
      <c r="N31" s="72">
        <f t="shared" si="3"/>
        <v>9854.1890000000003</v>
      </c>
    </row>
    <row r="32" spans="1:14" s="73" customFormat="1" x14ac:dyDescent="0.2">
      <c r="A32" s="74" t="s">
        <v>238</v>
      </c>
      <c r="B32" s="75" t="s">
        <v>244</v>
      </c>
      <c r="C32" s="76" t="s">
        <v>65</v>
      </c>
      <c r="D32" s="76" t="s">
        <v>65</v>
      </c>
      <c r="E32" s="76" t="s">
        <v>65</v>
      </c>
      <c r="F32" s="76" t="s">
        <v>65</v>
      </c>
      <c r="G32" s="76" t="s">
        <v>65</v>
      </c>
      <c r="H32" s="76" t="s">
        <v>65</v>
      </c>
      <c r="I32" s="77" t="s">
        <v>65</v>
      </c>
      <c r="J32" s="77" t="s">
        <v>65</v>
      </c>
      <c r="K32" s="77" t="s">
        <v>65</v>
      </c>
      <c r="L32" s="60">
        <v>3156.6752000000001</v>
      </c>
      <c r="M32" s="60">
        <v>4008.5061000000001</v>
      </c>
      <c r="N32" s="60">
        <v>3869.6279</v>
      </c>
    </row>
    <row r="33" spans="1:14" s="73" customFormat="1" ht="15" thickBot="1" x14ac:dyDescent="0.25">
      <c r="A33" s="78" t="s">
        <v>237</v>
      </c>
      <c r="B33" s="42" t="s">
        <v>244</v>
      </c>
      <c r="C33" s="79" t="s">
        <v>65</v>
      </c>
      <c r="D33" s="79" t="s">
        <v>65</v>
      </c>
      <c r="E33" s="79" t="s">
        <v>65</v>
      </c>
      <c r="F33" s="79" t="s">
        <v>65</v>
      </c>
      <c r="G33" s="79" t="s">
        <v>65</v>
      </c>
      <c r="H33" s="79" t="s">
        <v>65</v>
      </c>
      <c r="I33" s="79" t="s">
        <v>65</v>
      </c>
      <c r="J33" s="79" t="s">
        <v>65</v>
      </c>
      <c r="K33" s="79" t="s">
        <v>65</v>
      </c>
      <c r="L33" s="79">
        <v>1827</v>
      </c>
      <c r="M33" s="79">
        <v>1725</v>
      </c>
      <c r="N33" s="79">
        <v>1766</v>
      </c>
    </row>
    <row r="34" spans="1:14" s="82" customFormat="1" ht="15" thickTop="1" x14ac:dyDescent="0.2">
      <c r="A34" s="80" t="s">
        <v>159</v>
      </c>
      <c r="B34" s="46" t="s">
        <v>244</v>
      </c>
      <c r="C34" s="81" t="s">
        <v>65</v>
      </c>
      <c r="D34" s="81" t="s">
        <v>65</v>
      </c>
      <c r="E34" s="81" t="s">
        <v>65</v>
      </c>
      <c r="F34" s="81" t="s">
        <v>65</v>
      </c>
      <c r="G34" s="81" t="s">
        <v>65</v>
      </c>
      <c r="H34" s="81" t="s">
        <v>65</v>
      </c>
      <c r="I34" s="81" t="s">
        <v>65</v>
      </c>
      <c r="J34" s="81" t="s">
        <v>65</v>
      </c>
      <c r="K34" s="81" t="s">
        <v>65</v>
      </c>
      <c r="L34" s="72">
        <f>L32+L33</f>
        <v>4983.6751999999997</v>
      </c>
      <c r="M34" s="72">
        <f>M32+M33</f>
        <v>5733.5061000000005</v>
      </c>
      <c r="N34" s="72">
        <f>N32+N33</f>
        <v>5635.6278999999995</v>
      </c>
    </row>
    <row r="35" spans="1:14" x14ac:dyDescent="0.2">
      <c r="A35" s="16" t="s">
        <v>4</v>
      </c>
      <c r="B35" s="83"/>
      <c r="C35" s="84"/>
      <c r="D35" s="84"/>
      <c r="E35" s="84"/>
      <c r="F35" s="84"/>
      <c r="G35" s="84"/>
      <c r="H35" s="85"/>
      <c r="I35" s="85"/>
      <c r="J35" s="85"/>
      <c r="K35" s="85"/>
      <c r="L35" s="85"/>
      <c r="M35" s="84"/>
      <c r="N35" s="18"/>
    </row>
    <row r="36" spans="1:14" x14ac:dyDescent="0.2">
      <c r="A36" s="20" t="s">
        <v>136</v>
      </c>
      <c r="B36" s="56"/>
      <c r="C36" s="86"/>
      <c r="D36" s="86"/>
      <c r="E36" s="86"/>
      <c r="F36" s="86"/>
      <c r="G36" s="86"/>
      <c r="H36" s="86"/>
      <c r="I36" s="86"/>
      <c r="J36" s="86"/>
      <c r="K36" s="86"/>
      <c r="L36" s="86"/>
      <c r="M36" s="86"/>
      <c r="N36" s="24"/>
    </row>
    <row r="37" spans="1:14" s="30" customFormat="1" ht="15.75" x14ac:dyDescent="0.2">
      <c r="A37" s="87" t="s">
        <v>212</v>
      </c>
      <c r="B37" s="88" t="s">
        <v>249</v>
      </c>
      <c r="C37" s="40">
        <v>564.04999999999995</v>
      </c>
      <c r="D37" s="40">
        <v>563.94000000000005</v>
      </c>
      <c r="E37" s="40">
        <v>564.32000000000005</v>
      </c>
      <c r="F37" s="40">
        <v>567.04</v>
      </c>
      <c r="G37" s="40">
        <v>574.16999999999996</v>
      </c>
      <c r="H37" s="40">
        <v>533.66999999999996</v>
      </c>
      <c r="I37" s="40">
        <v>512.29999999999995</v>
      </c>
      <c r="J37" s="40">
        <v>463.5</v>
      </c>
      <c r="K37" s="40">
        <v>461.2</v>
      </c>
      <c r="L37" s="40">
        <v>471.2</v>
      </c>
      <c r="M37" s="40">
        <v>541</v>
      </c>
      <c r="N37" s="40">
        <v>511</v>
      </c>
    </row>
    <row r="38" spans="1:14" s="30" customFormat="1" ht="15.75" x14ac:dyDescent="0.2">
      <c r="A38" s="87" t="s">
        <v>211</v>
      </c>
      <c r="B38" s="88" t="s">
        <v>249</v>
      </c>
      <c r="C38" s="40">
        <v>178.11</v>
      </c>
      <c r="D38" s="40">
        <v>178.77</v>
      </c>
      <c r="E38" s="40">
        <v>172.18</v>
      </c>
      <c r="F38" s="40">
        <v>175.38</v>
      </c>
      <c r="G38" s="40">
        <v>171.32</v>
      </c>
      <c r="H38" s="40">
        <v>170.52</v>
      </c>
      <c r="I38" s="40">
        <v>169.6</v>
      </c>
      <c r="J38" s="40">
        <v>171.6</v>
      </c>
      <c r="K38" s="40">
        <v>156.5</v>
      </c>
      <c r="L38" s="40">
        <v>141.4</v>
      </c>
      <c r="M38" s="40">
        <v>100</v>
      </c>
      <c r="N38" s="40">
        <v>109.9</v>
      </c>
    </row>
    <row r="39" spans="1:14" s="30" customFormat="1" ht="16.5" thickBot="1" x14ac:dyDescent="0.25">
      <c r="A39" s="89" t="s">
        <v>119</v>
      </c>
      <c r="B39" s="90" t="s">
        <v>249</v>
      </c>
      <c r="C39" s="91">
        <v>599.33000000000004</v>
      </c>
      <c r="D39" s="91">
        <v>576.79</v>
      </c>
      <c r="E39" s="91">
        <v>611.46</v>
      </c>
      <c r="F39" s="91">
        <v>675.38</v>
      </c>
      <c r="G39" s="91">
        <v>675.92000000000007</v>
      </c>
      <c r="H39" s="91">
        <v>759.62</v>
      </c>
      <c r="I39" s="91">
        <v>660.19999999999993</v>
      </c>
      <c r="J39" s="91">
        <v>777</v>
      </c>
      <c r="K39" s="91">
        <v>725.8</v>
      </c>
      <c r="L39" s="91">
        <v>845.5</v>
      </c>
      <c r="M39" s="91">
        <v>640</v>
      </c>
      <c r="N39" s="91">
        <v>730.09999999999991</v>
      </c>
    </row>
    <row r="40" spans="1:14" s="30" customFormat="1" ht="16.5" thickTop="1" x14ac:dyDescent="0.2">
      <c r="A40" s="25" t="s">
        <v>209</v>
      </c>
      <c r="B40" s="88" t="s">
        <v>249</v>
      </c>
      <c r="C40" s="27">
        <f t="shared" ref="C40:M40" si="4">C37+C38+C39</f>
        <v>1341.49</v>
      </c>
      <c r="D40" s="27">
        <f t="shared" si="4"/>
        <v>1319.5</v>
      </c>
      <c r="E40" s="27">
        <f t="shared" si="4"/>
        <v>1347.96</v>
      </c>
      <c r="F40" s="27">
        <f t="shared" si="4"/>
        <v>1417.8</v>
      </c>
      <c r="G40" s="27">
        <f t="shared" si="4"/>
        <v>1421.41</v>
      </c>
      <c r="H40" s="27">
        <f t="shared" si="4"/>
        <v>1463.81</v>
      </c>
      <c r="I40" s="27">
        <f t="shared" si="4"/>
        <v>1342.1</v>
      </c>
      <c r="J40" s="27">
        <f t="shared" si="4"/>
        <v>1412.1</v>
      </c>
      <c r="K40" s="27">
        <f t="shared" si="4"/>
        <v>1343.5</v>
      </c>
      <c r="L40" s="27">
        <f t="shared" si="4"/>
        <v>1458.1</v>
      </c>
      <c r="M40" s="27">
        <f t="shared" si="4"/>
        <v>1281</v>
      </c>
      <c r="N40" s="27">
        <v>1351</v>
      </c>
    </row>
    <row r="41" spans="1:14" x14ac:dyDescent="0.2">
      <c r="A41" s="20" t="s">
        <v>35</v>
      </c>
      <c r="B41" s="56"/>
      <c r="C41" s="92"/>
      <c r="D41" s="92"/>
      <c r="E41" s="92"/>
      <c r="F41" s="92"/>
      <c r="G41" s="92"/>
      <c r="H41" s="92"/>
      <c r="I41" s="92"/>
      <c r="J41" s="92"/>
      <c r="K41" s="92"/>
      <c r="L41" s="92"/>
      <c r="M41" s="92"/>
      <c r="N41" s="24"/>
    </row>
    <row r="42" spans="1:14" x14ac:dyDescent="0.2">
      <c r="A42" s="87" t="s">
        <v>212</v>
      </c>
      <c r="B42" s="93" t="s">
        <v>0</v>
      </c>
      <c r="C42" s="94">
        <v>0.90374966758266118</v>
      </c>
      <c r="D42" s="94">
        <v>0.90483030109586116</v>
      </c>
      <c r="E42" s="94">
        <v>0.90142117947263956</v>
      </c>
      <c r="F42" s="94">
        <v>0.90111808690744921</v>
      </c>
      <c r="G42" s="94">
        <v>0.89828796349513218</v>
      </c>
      <c r="H42" s="95">
        <v>0.89427923623212857</v>
      </c>
      <c r="I42" s="95">
        <v>0.89100000000000001</v>
      </c>
      <c r="J42" s="95">
        <v>0.9</v>
      </c>
      <c r="K42" s="95">
        <v>0.90700000000000003</v>
      </c>
      <c r="L42" s="95">
        <v>0.88800000000000001</v>
      </c>
      <c r="M42" s="95">
        <v>0.85</v>
      </c>
      <c r="N42" s="95">
        <v>0.82</v>
      </c>
    </row>
    <row r="43" spans="1:14" x14ac:dyDescent="0.2">
      <c r="A43" s="87" t="s">
        <v>211</v>
      </c>
      <c r="B43" s="93" t="s">
        <v>0</v>
      </c>
      <c r="C43" s="94">
        <v>0.85941272247487499</v>
      </c>
      <c r="D43" s="94">
        <v>0.86228114336857409</v>
      </c>
      <c r="E43" s="94">
        <v>0.87373678708328484</v>
      </c>
      <c r="F43" s="94">
        <v>0.8580225795415668</v>
      </c>
      <c r="G43" s="94">
        <v>0.85611720756479104</v>
      </c>
      <c r="H43" s="94">
        <v>0.88488153882242537</v>
      </c>
      <c r="I43" s="95">
        <v>0.92800000000000005</v>
      </c>
      <c r="J43" s="95">
        <v>0.92</v>
      </c>
      <c r="K43" s="95">
        <v>0.95899999999999996</v>
      </c>
      <c r="L43" s="95">
        <v>0.98880000000000001</v>
      </c>
      <c r="M43" s="95">
        <v>0.98</v>
      </c>
      <c r="N43" s="95">
        <v>0.81</v>
      </c>
    </row>
    <row r="44" spans="1:14" ht="15" thickBot="1" x14ac:dyDescent="0.25">
      <c r="A44" s="89" t="s">
        <v>119</v>
      </c>
      <c r="B44" s="96" t="s">
        <v>0</v>
      </c>
      <c r="C44" s="97">
        <v>0.83226269334089698</v>
      </c>
      <c r="D44" s="97">
        <v>0.8093586920716378</v>
      </c>
      <c r="E44" s="97">
        <v>0.95309586890393472</v>
      </c>
      <c r="F44" s="97">
        <v>0.95873434214812403</v>
      </c>
      <c r="G44" s="97">
        <v>0.96654929577464754</v>
      </c>
      <c r="H44" s="98">
        <v>0.82711092388299423</v>
      </c>
      <c r="I44" s="99">
        <v>0.79</v>
      </c>
      <c r="J44" s="99">
        <v>0.81</v>
      </c>
      <c r="K44" s="99">
        <v>0.83</v>
      </c>
      <c r="L44" s="99">
        <v>0.83010053222945013</v>
      </c>
      <c r="M44" s="99">
        <v>0.82</v>
      </c>
      <c r="N44" s="99">
        <v>0.81699999999999995</v>
      </c>
    </row>
    <row r="45" spans="1:14" s="73" customFormat="1" ht="15" thickTop="1" x14ac:dyDescent="0.2">
      <c r="A45" s="25" t="s">
        <v>209</v>
      </c>
      <c r="B45" s="100" t="s">
        <v>0</v>
      </c>
      <c r="C45" s="101">
        <v>0.865925202573258</v>
      </c>
      <c r="D45" s="101">
        <v>0.85733232284956418</v>
      </c>
      <c r="E45" s="101">
        <v>0.92132555862191745</v>
      </c>
      <c r="F45" s="101">
        <v>0.92323317816335171</v>
      </c>
      <c r="G45" s="101">
        <v>0.92566536045194558</v>
      </c>
      <c r="H45" s="102">
        <v>0.85832860822101231</v>
      </c>
      <c r="I45" s="102">
        <v>0.84799999999999998</v>
      </c>
      <c r="J45" s="102">
        <v>0.85699999999999998</v>
      </c>
      <c r="K45" s="103">
        <v>0.87234834387793081</v>
      </c>
      <c r="L45" s="103">
        <v>0.8642754269254509</v>
      </c>
      <c r="M45" s="103">
        <v>0.84599999999999997</v>
      </c>
      <c r="N45" s="103">
        <v>0.81799999999999995</v>
      </c>
    </row>
    <row r="46" spans="1:14" x14ac:dyDescent="0.2">
      <c r="A46" s="20" t="s">
        <v>137</v>
      </c>
      <c r="B46" s="56"/>
      <c r="C46" s="92"/>
      <c r="D46" s="92"/>
      <c r="E46" s="92"/>
      <c r="F46" s="92"/>
      <c r="G46" s="92"/>
      <c r="H46" s="92"/>
      <c r="I46" s="92"/>
      <c r="J46" s="92"/>
      <c r="K46" s="92"/>
      <c r="L46" s="92"/>
      <c r="M46" s="92"/>
      <c r="N46" s="22"/>
    </row>
    <row r="47" spans="1:14" ht="15.75" x14ac:dyDescent="0.2">
      <c r="A47" s="87" t="s">
        <v>212</v>
      </c>
      <c r="B47" s="93" t="s">
        <v>249</v>
      </c>
      <c r="C47" s="104">
        <v>88.28</v>
      </c>
      <c r="D47" s="104">
        <v>88.77</v>
      </c>
      <c r="E47" s="104">
        <v>86.48</v>
      </c>
      <c r="F47" s="104">
        <v>95.02</v>
      </c>
      <c r="G47" s="105">
        <v>102.49</v>
      </c>
      <c r="H47" s="105">
        <v>96.4</v>
      </c>
      <c r="I47" s="105">
        <v>100.1</v>
      </c>
      <c r="J47" s="104">
        <v>82.8</v>
      </c>
      <c r="K47" s="104">
        <v>69.599999999999994</v>
      </c>
      <c r="L47" s="104">
        <v>78.400000000000006</v>
      </c>
      <c r="M47" s="104">
        <v>155.4</v>
      </c>
      <c r="N47" s="104">
        <v>132.80000000000001</v>
      </c>
    </row>
    <row r="48" spans="1:14" ht="15.75" x14ac:dyDescent="0.2">
      <c r="A48" s="87" t="s">
        <v>211</v>
      </c>
      <c r="B48" s="93" t="s">
        <v>249</v>
      </c>
      <c r="C48" s="104">
        <v>36.49</v>
      </c>
      <c r="D48" s="104">
        <v>35.479999999999997</v>
      </c>
      <c r="E48" s="104">
        <v>35.92</v>
      </c>
      <c r="F48" s="104">
        <v>30.16</v>
      </c>
      <c r="G48" s="105">
        <v>27.93</v>
      </c>
      <c r="H48" s="105">
        <v>35.53</v>
      </c>
      <c r="I48" s="105">
        <v>31.7</v>
      </c>
      <c r="J48" s="104">
        <v>32.799999999999997</v>
      </c>
      <c r="K48" s="104">
        <v>28</v>
      </c>
      <c r="L48" s="104">
        <v>38.200000000000003</v>
      </c>
      <c r="M48" s="104">
        <v>33</v>
      </c>
      <c r="N48" s="104">
        <v>39.200000000000003</v>
      </c>
    </row>
    <row r="49" spans="1:14" ht="16.5" thickBot="1" x14ac:dyDescent="0.25">
      <c r="A49" s="89" t="s">
        <v>119</v>
      </c>
      <c r="B49" s="96" t="s">
        <v>249</v>
      </c>
      <c r="C49" s="106">
        <v>192.6</v>
      </c>
      <c r="D49" s="106">
        <v>208.2</v>
      </c>
      <c r="E49" s="106">
        <v>230.4</v>
      </c>
      <c r="F49" s="106">
        <v>226.8</v>
      </c>
      <c r="G49" s="107">
        <v>218.1</v>
      </c>
      <c r="H49" s="107">
        <v>196.5</v>
      </c>
      <c r="I49" s="107">
        <v>203.8</v>
      </c>
      <c r="J49" s="107">
        <v>269.5</v>
      </c>
      <c r="K49" s="106">
        <v>240.3</v>
      </c>
      <c r="L49" s="106">
        <v>258.2</v>
      </c>
      <c r="M49" s="106">
        <v>163</v>
      </c>
      <c r="N49" s="106">
        <v>181.10000000000002</v>
      </c>
    </row>
    <row r="50" spans="1:14" ht="16.5" thickTop="1" x14ac:dyDescent="0.2">
      <c r="A50" s="80" t="s">
        <v>250</v>
      </c>
      <c r="B50" s="93" t="s">
        <v>249</v>
      </c>
      <c r="C50" s="108">
        <v>317.39999999999998</v>
      </c>
      <c r="D50" s="108">
        <v>332.4</v>
      </c>
      <c r="E50" s="108">
        <v>352.8</v>
      </c>
      <c r="F50" s="108">
        <v>352</v>
      </c>
      <c r="G50" s="108">
        <v>348.5</v>
      </c>
      <c r="H50" s="108">
        <v>328.4</v>
      </c>
      <c r="I50" s="108">
        <v>335.6</v>
      </c>
      <c r="J50" s="108">
        <v>356.8</v>
      </c>
      <c r="K50" s="108">
        <v>319.39999999999998</v>
      </c>
      <c r="L50" s="108">
        <v>374.9</v>
      </c>
      <c r="M50" s="108">
        <v>350.5</v>
      </c>
      <c r="N50" s="108">
        <v>353.1</v>
      </c>
    </row>
    <row r="51" spans="1:14" x14ac:dyDescent="0.2">
      <c r="A51" s="20" t="s">
        <v>138</v>
      </c>
      <c r="B51" s="56"/>
      <c r="C51" s="86"/>
      <c r="D51" s="86"/>
      <c r="E51" s="86"/>
      <c r="F51" s="86"/>
      <c r="G51" s="86"/>
      <c r="H51" s="86"/>
      <c r="I51" s="86"/>
      <c r="J51" s="86"/>
      <c r="K51" s="86"/>
      <c r="L51" s="86"/>
      <c r="M51" s="86"/>
      <c r="N51" s="109"/>
    </row>
    <row r="52" spans="1:14" s="112" customFormat="1" x14ac:dyDescent="0.2">
      <c r="A52" s="25" t="s">
        <v>212</v>
      </c>
      <c r="B52" s="110"/>
      <c r="C52" s="111"/>
      <c r="D52" s="111"/>
      <c r="E52" s="111"/>
      <c r="F52" s="111"/>
      <c r="G52" s="111"/>
      <c r="H52" s="111"/>
      <c r="I52" s="111"/>
      <c r="J52" s="111"/>
      <c r="K52" s="111"/>
      <c r="L52" s="111"/>
      <c r="M52" s="111"/>
      <c r="N52" s="111"/>
    </row>
    <row r="53" spans="1:14" s="30" customFormat="1" ht="15.75" x14ac:dyDescent="0.2">
      <c r="A53" s="31" t="s">
        <v>139</v>
      </c>
      <c r="B53" s="88" t="s">
        <v>249</v>
      </c>
      <c r="C53" s="105">
        <v>38.93</v>
      </c>
      <c r="D53" s="105">
        <v>39.200000000000003</v>
      </c>
      <c r="E53" s="105">
        <v>33.090000000000003</v>
      </c>
      <c r="F53" s="105">
        <v>36.200000000000003</v>
      </c>
      <c r="G53" s="105">
        <v>39.520000000000003</v>
      </c>
      <c r="H53" s="105">
        <v>38.67</v>
      </c>
      <c r="I53" s="105">
        <v>45.3</v>
      </c>
      <c r="J53" s="105">
        <v>35</v>
      </c>
      <c r="K53" s="105">
        <v>23.7</v>
      </c>
      <c r="L53" s="105">
        <v>33.799999999999997</v>
      </c>
      <c r="M53" s="104">
        <v>76</v>
      </c>
      <c r="N53" s="104">
        <v>44</v>
      </c>
    </row>
    <row r="54" spans="1:14" s="30" customFormat="1" ht="15.75" x14ac:dyDescent="0.2">
      <c r="A54" s="62" t="s">
        <v>141</v>
      </c>
      <c r="B54" s="113" t="s">
        <v>251</v>
      </c>
      <c r="C54" s="114">
        <v>0.23</v>
      </c>
      <c r="D54" s="114">
        <v>2.21</v>
      </c>
      <c r="E54" s="114">
        <v>2.0599999999999996</v>
      </c>
      <c r="F54" s="114">
        <v>4.83</v>
      </c>
      <c r="G54" s="114">
        <v>5.258</v>
      </c>
      <c r="H54" s="114">
        <v>5.4399999999999995</v>
      </c>
      <c r="I54" s="114">
        <f>0.7+5</f>
        <v>5.7</v>
      </c>
      <c r="J54" s="114">
        <v>2.6</v>
      </c>
      <c r="K54" s="114">
        <v>1.3</v>
      </c>
      <c r="L54" s="115">
        <v>0.4</v>
      </c>
      <c r="M54" s="116">
        <v>16.8</v>
      </c>
      <c r="N54" s="116">
        <v>3.1450079999999998</v>
      </c>
    </row>
    <row r="55" spans="1:14" s="30" customFormat="1" x14ac:dyDescent="0.2">
      <c r="A55" s="31" t="s">
        <v>142</v>
      </c>
      <c r="B55" s="88" t="s">
        <v>5</v>
      </c>
      <c r="C55" s="105">
        <v>47.93</v>
      </c>
      <c r="D55" s="105">
        <v>72.39</v>
      </c>
      <c r="E55" s="105">
        <v>76.930000000000007</v>
      </c>
      <c r="F55" s="105">
        <v>67.47</v>
      </c>
      <c r="G55" s="105">
        <v>76.92</v>
      </c>
      <c r="H55" s="105">
        <v>71.83</v>
      </c>
      <c r="I55" s="105">
        <v>73</v>
      </c>
      <c r="J55" s="105">
        <v>72.7</v>
      </c>
      <c r="K55" s="105">
        <v>58.3</v>
      </c>
      <c r="L55" s="105">
        <v>66.8</v>
      </c>
      <c r="M55" s="104">
        <v>110.4</v>
      </c>
      <c r="N55" s="104">
        <v>75.8</v>
      </c>
    </row>
    <row r="56" spans="1:14" s="112" customFormat="1" x14ac:dyDescent="0.2">
      <c r="A56" s="69" t="s">
        <v>213</v>
      </c>
      <c r="B56" s="110"/>
      <c r="C56" s="111"/>
      <c r="D56" s="111"/>
      <c r="E56" s="111"/>
      <c r="F56" s="111"/>
      <c r="G56" s="111"/>
      <c r="H56" s="111"/>
      <c r="I56" s="111"/>
      <c r="J56" s="111"/>
      <c r="K56" s="111"/>
      <c r="L56" s="111"/>
      <c r="M56" s="111"/>
      <c r="N56" s="111"/>
    </row>
    <row r="57" spans="1:14" s="30" customFormat="1" ht="15.75" x14ac:dyDescent="0.2">
      <c r="A57" s="31" t="s">
        <v>139</v>
      </c>
      <c r="B57" s="88" t="s">
        <v>249</v>
      </c>
      <c r="C57" s="105">
        <v>27.41</v>
      </c>
      <c r="D57" s="105">
        <v>26.28</v>
      </c>
      <c r="E57" s="105">
        <v>24.47</v>
      </c>
      <c r="F57" s="105">
        <v>25.44</v>
      </c>
      <c r="G57" s="105">
        <v>23.48</v>
      </c>
      <c r="H57" s="105">
        <v>22.59</v>
      </c>
      <c r="I57" s="105">
        <v>22.3</v>
      </c>
      <c r="J57" s="105">
        <v>25.6</v>
      </c>
      <c r="K57" s="105">
        <v>22.1</v>
      </c>
      <c r="L57" s="105">
        <v>25.8</v>
      </c>
      <c r="M57" s="104">
        <v>27.5</v>
      </c>
      <c r="N57" s="104">
        <v>26.7</v>
      </c>
    </row>
    <row r="58" spans="1:14" s="30" customFormat="1" ht="15.75" x14ac:dyDescent="0.2">
      <c r="A58" s="62" t="s">
        <v>141</v>
      </c>
      <c r="B58" s="113" t="s">
        <v>251</v>
      </c>
      <c r="C58" s="114">
        <v>0</v>
      </c>
      <c r="D58" s="114">
        <v>0</v>
      </c>
      <c r="E58" s="114">
        <v>0</v>
      </c>
      <c r="F58" s="114">
        <v>0</v>
      </c>
      <c r="G58" s="114">
        <v>0</v>
      </c>
      <c r="H58" s="114">
        <v>0</v>
      </c>
      <c r="I58" s="114">
        <v>0</v>
      </c>
      <c r="J58" s="114">
        <v>0</v>
      </c>
      <c r="K58" s="114">
        <v>0</v>
      </c>
      <c r="L58" s="114">
        <v>0</v>
      </c>
      <c r="M58" s="116">
        <v>0</v>
      </c>
      <c r="N58" s="116">
        <v>0</v>
      </c>
    </row>
    <row r="59" spans="1:14" s="30" customFormat="1" x14ac:dyDescent="0.2">
      <c r="A59" s="31" t="s">
        <v>142</v>
      </c>
      <c r="B59" s="88" t="s">
        <v>5</v>
      </c>
      <c r="C59" s="105">
        <v>70.52</v>
      </c>
      <c r="D59" s="105">
        <v>77.47</v>
      </c>
      <c r="E59" s="105">
        <v>61.8</v>
      </c>
      <c r="F59" s="105">
        <v>72.680000000000007</v>
      </c>
      <c r="G59" s="105">
        <v>75.62</v>
      </c>
      <c r="H59" s="105">
        <v>119.32</v>
      </c>
      <c r="I59" s="105">
        <v>142.9</v>
      </c>
      <c r="J59" s="105">
        <v>148</v>
      </c>
      <c r="K59" s="105">
        <v>124.4</v>
      </c>
      <c r="L59" s="105">
        <v>126.7</v>
      </c>
      <c r="M59" s="104">
        <v>123.2</v>
      </c>
      <c r="N59" s="104">
        <v>129.1</v>
      </c>
    </row>
    <row r="60" spans="1:14" s="112" customFormat="1" x14ac:dyDescent="0.2">
      <c r="A60" s="69" t="s">
        <v>140</v>
      </c>
      <c r="B60" s="110"/>
      <c r="C60" s="111"/>
      <c r="D60" s="111"/>
      <c r="E60" s="111"/>
      <c r="F60" s="111"/>
      <c r="G60" s="111"/>
      <c r="H60" s="111"/>
      <c r="I60" s="111"/>
      <c r="J60" s="111"/>
      <c r="K60" s="111"/>
      <c r="L60" s="111"/>
      <c r="M60" s="111"/>
      <c r="N60" s="111"/>
    </row>
    <row r="61" spans="1:14" s="30" customFormat="1" ht="15.75" x14ac:dyDescent="0.2">
      <c r="A61" s="31" t="s">
        <v>139</v>
      </c>
      <c r="B61" s="88" t="s">
        <v>249</v>
      </c>
      <c r="C61" s="105">
        <v>72.66</v>
      </c>
      <c r="D61" s="105">
        <v>81.05</v>
      </c>
      <c r="E61" s="105">
        <v>88.609999999999985</v>
      </c>
      <c r="F61" s="105">
        <v>83.98</v>
      </c>
      <c r="G61" s="105">
        <v>77.449999999999974</v>
      </c>
      <c r="H61" s="105">
        <v>82.29</v>
      </c>
      <c r="I61" s="105">
        <v>80</v>
      </c>
      <c r="J61" s="105">
        <v>103.9</v>
      </c>
      <c r="K61" s="105">
        <v>96.5</v>
      </c>
      <c r="L61" s="105">
        <v>142.69999999999999</v>
      </c>
      <c r="M61" s="104">
        <v>90.4</v>
      </c>
      <c r="N61" s="104">
        <v>97.4</v>
      </c>
    </row>
    <row r="62" spans="1:14" s="30" customFormat="1" ht="15.75" x14ac:dyDescent="0.2">
      <c r="A62" s="62" t="s">
        <v>141</v>
      </c>
      <c r="B62" s="113" t="s">
        <v>251</v>
      </c>
      <c r="C62" s="114">
        <v>71.669999999999987</v>
      </c>
      <c r="D62" s="114">
        <v>80.06</v>
      </c>
      <c r="E62" s="114">
        <v>87.93</v>
      </c>
      <c r="F62" s="114">
        <v>83.55</v>
      </c>
      <c r="G62" s="114">
        <v>77.761999999999986</v>
      </c>
      <c r="H62" s="114">
        <v>81.36</v>
      </c>
      <c r="I62" s="114">
        <v>79.3</v>
      </c>
      <c r="J62" s="114">
        <f>91.9+4.7</f>
        <v>96.600000000000009</v>
      </c>
      <c r="K62" s="114">
        <v>78.900000000000006</v>
      </c>
      <c r="L62" s="114">
        <v>113.9</v>
      </c>
      <c r="M62" s="116">
        <v>82.2</v>
      </c>
      <c r="N62" s="116">
        <v>82.2</v>
      </c>
    </row>
    <row r="63" spans="1:14" s="30" customFormat="1" ht="15" thickBot="1" x14ac:dyDescent="0.25">
      <c r="A63" s="41" t="s">
        <v>142</v>
      </c>
      <c r="B63" s="90" t="s">
        <v>5</v>
      </c>
      <c r="C63" s="117">
        <v>13.989999999999995</v>
      </c>
      <c r="D63" s="117">
        <v>1.2500000000000142</v>
      </c>
      <c r="E63" s="117">
        <v>0.7</v>
      </c>
      <c r="F63" s="117">
        <v>0.37000000000000455</v>
      </c>
      <c r="G63" s="117">
        <v>0.55999999999998806</v>
      </c>
      <c r="H63" s="117">
        <v>1.8400000000000176</v>
      </c>
      <c r="I63" s="117">
        <v>0.7</v>
      </c>
      <c r="J63" s="117">
        <v>11.7</v>
      </c>
      <c r="K63" s="117">
        <v>27.9</v>
      </c>
      <c r="L63" s="117">
        <v>50.8</v>
      </c>
      <c r="M63" s="106">
        <v>3.6</v>
      </c>
      <c r="N63" s="106">
        <v>3.7</v>
      </c>
    </row>
    <row r="64" spans="1:14" s="30" customFormat="1" ht="15" thickTop="1" x14ac:dyDescent="0.2">
      <c r="A64" s="25" t="s">
        <v>209</v>
      </c>
      <c r="B64" s="110"/>
      <c r="C64" s="111"/>
      <c r="D64" s="111"/>
      <c r="E64" s="111"/>
      <c r="F64" s="111"/>
      <c r="G64" s="111"/>
      <c r="H64" s="111"/>
      <c r="I64" s="111"/>
      <c r="J64" s="111"/>
      <c r="K64" s="111"/>
      <c r="L64" s="111"/>
      <c r="M64" s="111"/>
      <c r="N64" s="111"/>
    </row>
    <row r="65" spans="1:14" s="30" customFormat="1" ht="15.75" x14ac:dyDescent="0.2">
      <c r="A65" s="31" t="s">
        <v>139</v>
      </c>
      <c r="B65" s="88" t="s">
        <v>249</v>
      </c>
      <c r="C65" s="105">
        <f>C53+C57+C61</f>
        <v>139</v>
      </c>
      <c r="D65" s="105">
        <f>D53+D57+D61</f>
        <v>146.53</v>
      </c>
      <c r="E65" s="105">
        <f>E53+E57+E61</f>
        <v>146.16999999999999</v>
      </c>
      <c r="F65" s="105">
        <f>F53+F57+F61</f>
        <v>145.62</v>
      </c>
      <c r="G65" s="105">
        <v>140.4</v>
      </c>
      <c r="H65" s="105">
        <f>H53+H57+H61</f>
        <v>143.55000000000001</v>
      </c>
      <c r="I65" s="105">
        <f>I53+I57+I61</f>
        <v>147.6</v>
      </c>
      <c r="J65" s="105">
        <f>J53+J57+J61</f>
        <v>164.5</v>
      </c>
      <c r="K65" s="105">
        <f>K53+K57+K61</f>
        <v>142.30000000000001</v>
      </c>
      <c r="L65" s="105">
        <v>202.4</v>
      </c>
      <c r="M65" s="104">
        <v>194</v>
      </c>
      <c r="N65" s="104">
        <v>168</v>
      </c>
    </row>
    <row r="66" spans="1:14" s="30" customFormat="1" ht="15.75" x14ac:dyDescent="0.2">
      <c r="A66" s="62" t="s">
        <v>141</v>
      </c>
      <c r="B66" s="113" t="s">
        <v>251</v>
      </c>
      <c r="C66" s="114">
        <f>C54+C58+C62</f>
        <v>71.899999999999991</v>
      </c>
      <c r="D66" s="114">
        <f>D54+D58+D62</f>
        <v>82.27</v>
      </c>
      <c r="E66" s="114">
        <f>E54+E58+E62</f>
        <v>89.990000000000009</v>
      </c>
      <c r="F66" s="114">
        <v>88.4</v>
      </c>
      <c r="G66" s="114">
        <f>G54+G58+G62</f>
        <v>83.019999999999982</v>
      </c>
      <c r="H66" s="114">
        <f>H54+H58+H62</f>
        <v>86.8</v>
      </c>
      <c r="I66" s="114">
        <f>I54+I62</f>
        <v>85</v>
      </c>
      <c r="J66" s="114">
        <f>J54+J62</f>
        <v>99.2</v>
      </c>
      <c r="K66" s="114">
        <f>K54+K62</f>
        <v>80.2</v>
      </c>
      <c r="L66" s="114">
        <v>114.3</v>
      </c>
      <c r="M66" s="116">
        <v>99.8</v>
      </c>
      <c r="N66" s="116">
        <v>90.1</v>
      </c>
    </row>
    <row r="67" spans="1:14" s="30" customFormat="1" x14ac:dyDescent="0.2">
      <c r="A67" s="31" t="s">
        <v>142</v>
      </c>
      <c r="B67" s="88" t="s">
        <v>5</v>
      </c>
      <c r="C67" s="105">
        <f>C55+C59+C63</f>
        <v>132.44</v>
      </c>
      <c r="D67" s="105">
        <f>D55+D59+D63</f>
        <v>151.11000000000001</v>
      </c>
      <c r="E67" s="105">
        <v>139.4</v>
      </c>
      <c r="F67" s="105">
        <f>F55+F59+F63</f>
        <v>140.52000000000001</v>
      </c>
      <c r="G67" s="105">
        <f>G55+G59+G63</f>
        <v>153.10000000000002</v>
      </c>
      <c r="H67" s="105">
        <f>H55+H59+H63</f>
        <v>192.99</v>
      </c>
      <c r="I67" s="105">
        <f>I55+I59+I63</f>
        <v>216.6</v>
      </c>
      <c r="J67" s="105">
        <f>J55+J59+J63</f>
        <v>232.39999999999998</v>
      </c>
      <c r="K67" s="105">
        <f>K55+K59+K63</f>
        <v>210.6</v>
      </c>
      <c r="L67" s="105">
        <v>244</v>
      </c>
      <c r="M67" s="104">
        <v>237.2</v>
      </c>
      <c r="N67" s="104">
        <v>208.56</v>
      </c>
    </row>
    <row r="68" spans="1:14" x14ac:dyDescent="0.2">
      <c r="A68" s="16" t="s">
        <v>36</v>
      </c>
      <c r="B68" s="83"/>
      <c r="C68" s="118"/>
      <c r="D68" s="118"/>
      <c r="E68" s="118"/>
      <c r="F68" s="119"/>
      <c r="G68" s="119"/>
      <c r="H68" s="119"/>
      <c r="I68" s="119"/>
      <c r="J68" s="119"/>
      <c r="K68" s="119"/>
      <c r="L68" s="119"/>
      <c r="M68" s="119"/>
      <c r="N68" s="120"/>
    </row>
    <row r="69" spans="1:14" x14ac:dyDescent="0.2">
      <c r="A69" s="20" t="s">
        <v>143</v>
      </c>
      <c r="B69" s="21"/>
      <c r="C69" s="121"/>
      <c r="D69" s="121"/>
      <c r="E69" s="121"/>
      <c r="F69" s="121"/>
      <c r="G69" s="121"/>
      <c r="H69" s="121"/>
      <c r="I69" s="121"/>
      <c r="J69" s="121"/>
      <c r="K69" s="121"/>
      <c r="L69" s="121"/>
      <c r="M69" s="121"/>
      <c r="N69" s="121"/>
    </row>
    <row r="70" spans="1:14" x14ac:dyDescent="0.2">
      <c r="A70" s="87" t="s">
        <v>212</v>
      </c>
      <c r="B70" s="93" t="s">
        <v>6</v>
      </c>
      <c r="C70" s="122">
        <v>31.65</v>
      </c>
      <c r="D70" s="122">
        <v>31.55</v>
      </c>
      <c r="E70" s="122">
        <v>26.39</v>
      </c>
      <c r="F70" s="122">
        <v>23.07</v>
      </c>
      <c r="G70" s="122">
        <v>22.27</v>
      </c>
      <c r="H70" s="122">
        <v>22.57</v>
      </c>
      <c r="I70" s="122">
        <v>23.260856</v>
      </c>
      <c r="J70" s="122">
        <v>15.71</v>
      </c>
      <c r="K70" s="122">
        <v>15.623141923</v>
      </c>
      <c r="L70" s="122">
        <v>14.761199118</v>
      </c>
      <c r="M70" s="122">
        <v>63.1</v>
      </c>
      <c r="N70" s="122">
        <v>73.489999999999995</v>
      </c>
    </row>
    <row r="71" spans="1:14" x14ac:dyDescent="0.2">
      <c r="A71" s="87" t="s">
        <v>211</v>
      </c>
      <c r="B71" s="93" t="s">
        <v>6</v>
      </c>
      <c r="C71" s="122">
        <v>9.25</v>
      </c>
      <c r="D71" s="122">
        <v>11.93</v>
      </c>
      <c r="E71" s="122">
        <v>14.1</v>
      </c>
      <c r="F71" s="122">
        <v>12.1</v>
      </c>
      <c r="G71" s="122">
        <v>11.37</v>
      </c>
      <c r="H71" s="122">
        <v>10.61</v>
      </c>
      <c r="I71" s="122">
        <v>8.61</v>
      </c>
      <c r="J71" s="122">
        <v>8.31</v>
      </c>
      <c r="K71" s="122">
        <v>7.8463377029999997</v>
      </c>
      <c r="L71" s="122">
        <v>8.0702872499999998</v>
      </c>
      <c r="M71" s="122">
        <v>7.47</v>
      </c>
      <c r="N71" s="122">
        <v>7.3</v>
      </c>
    </row>
    <row r="72" spans="1:14" ht="15" thickBot="1" x14ac:dyDescent="0.25">
      <c r="A72" s="89" t="s">
        <v>119</v>
      </c>
      <c r="B72" s="96" t="s">
        <v>6</v>
      </c>
      <c r="C72" s="123">
        <v>0.04</v>
      </c>
      <c r="D72" s="123">
        <v>0.04</v>
      </c>
      <c r="E72" s="123">
        <v>0</v>
      </c>
      <c r="F72" s="123">
        <v>0</v>
      </c>
      <c r="G72" s="123">
        <v>0</v>
      </c>
      <c r="H72" s="123">
        <v>9.0000000000003411E-2</v>
      </c>
      <c r="I72" s="123">
        <v>2.3565675515999997E-2</v>
      </c>
      <c r="J72" s="123">
        <v>6.6999999999999975</v>
      </c>
      <c r="K72" s="124">
        <v>12.950470862650004</v>
      </c>
      <c r="L72" s="124">
        <v>122.40281217999998</v>
      </c>
      <c r="M72" s="124">
        <v>85.85</v>
      </c>
      <c r="N72" s="124">
        <v>85.49</v>
      </c>
    </row>
    <row r="73" spans="1:14" s="73" customFormat="1" ht="15" thickTop="1" x14ac:dyDescent="0.2">
      <c r="A73" s="25" t="s">
        <v>209</v>
      </c>
      <c r="B73" s="100" t="s">
        <v>6</v>
      </c>
      <c r="C73" s="125">
        <f t="shared" ref="C73:L73" si="5">C72+C71+C70</f>
        <v>40.94</v>
      </c>
      <c r="D73" s="125">
        <f t="shared" si="5"/>
        <v>43.519999999999996</v>
      </c>
      <c r="E73" s="125">
        <f t="shared" si="5"/>
        <v>40.49</v>
      </c>
      <c r="F73" s="125">
        <f t="shared" si="5"/>
        <v>35.17</v>
      </c>
      <c r="G73" s="125">
        <f t="shared" si="5"/>
        <v>33.64</v>
      </c>
      <c r="H73" s="125">
        <f t="shared" si="5"/>
        <v>33.270000000000003</v>
      </c>
      <c r="I73" s="125">
        <f t="shared" si="5"/>
        <v>31.894421675516</v>
      </c>
      <c r="J73" s="125">
        <f t="shared" si="5"/>
        <v>30.72</v>
      </c>
      <c r="K73" s="125">
        <f t="shared" si="5"/>
        <v>36.419950488650002</v>
      </c>
      <c r="L73" s="125">
        <f t="shared" si="5"/>
        <v>145.234298548</v>
      </c>
      <c r="M73" s="125">
        <v>156.41999999999999</v>
      </c>
      <c r="N73" s="125">
        <v>166.28</v>
      </c>
    </row>
    <row r="74" spans="1:14" x14ac:dyDescent="0.2">
      <c r="A74" s="20" t="s">
        <v>144</v>
      </c>
      <c r="B74" s="21"/>
      <c r="C74" s="121"/>
      <c r="D74" s="121"/>
      <c r="E74" s="121"/>
      <c r="F74" s="121"/>
      <c r="G74" s="121"/>
      <c r="H74" s="121"/>
      <c r="I74" s="121"/>
      <c r="J74" s="121"/>
      <c r="K74" s="121"/>
      <c r="L74" s="121"/>
      <c r="M74" s="121"/>
      <c r="N74" s="121"/>
    </row>
    <row r="75" spans="1:14" x14ac:dyDescent="0.2">
      <c r="A75" s="87" t="s">
        <v>212</v>
      </c>
      <c r="B75" s="93" t="s">
        <v>6</v>
      </c>
      <c r="C75" s="122">
        <v>12.62</v>
      </c>
      <c r="D75" s="122">
        <v>15.87</v>
      </c>
      <c r="E75" s="122">
        <v>12.96</v>
      </c>
      <c r="F75" s="122">
        <v>12.13</v>
      </c>
      <c r="G75" s="122">
        <v>13.22</v>
      </c>
      <c r="H75" s="122">
        <v>15.18</v>
      </c>
      <c r="I75" s="122">
        <v>17.75</v>
      </c>
      <c r="J75" s="122">
        <v>15.79</v>
      </c>
      <c r="K75" s="122">
        <v>14.340635301999999</v>
      </c>
      <c r="L75" s="122">
        <v>10.551092544999999</v>
      </c>
      <c r="M75" s="122">
        <v>15.807</v>
      </c>
      <c r="N75" s="122">
        <v>21.5</v>
      </c>
    </row>
    <row r="76" spans="1:14" x14ac:dyDescent="0.2">
      <c r="A76" s="87" t="s">
        <v>211</v>
      </c>
      <c r="B76" s="93" t="s">
        <v>6</v>
      </c>
      <c r="C76" s="122">
        <v>3</v>
      </c>
      <c r="D76" s="122">
        <v>5.0199999999999996</v>
      </c>
      <c r="E76" s="122">
        <v>6.39</v>
      </c>
      <c r="F76" s="122">
        <v>6.11</v>
      </c>
      <c r="G76" s="122">
        <v>5.59</v>
      </c>
      <c r="H76" s="122">
        <v>4.97</v>
      </c>
      <c r="I76" s="122">
        <v>3.01</v>
      </c>
      <c r="J76" s="122">
        <v>2.46</v>
      </c>
      <c r="K76" s="122">
        <v>4.2525437149999998</v>
      </c>
      <c r="L76" s="122">
        <v>6.0735410700000001</v>
      </c>
      <c r="M76" s="122">
        <v>4.01</v>
      </c>
      <c r="N76" s="122">
        <v>4.01</v>
      </c>
    </row>
    <row r="77" spans="1:14" ht="15" thickBot="1" x14ac:dyDescent="0.25">
      <c r="A77" s="89" t="s">
        <v>119</v>
      </c>
      <c r="B77" s="126" t="s">
        <v>6</v>
      </c>
      <c r="C77" s="124">
        <v>0</v>
      </c>
      <c r="D77" s="124">
        <v>0</v>
      </c>
      <c r="E77" s="124">
        <v>0</v>
      </c>
      <c r="F77" s="124">
        <v>0</v>
      </c>
      <c r="G77" s="124">
        <v>0</v>
      </c>
      <c r="H77" s="124">
        <v>0</v>
      </c>
      <c r="I77" s="124">
        <v>0</v>
      </c>
      <c r="J77" s="124">
        <v>3.38</v>
      </c>
      <c r="K77" s="124">
        <v>4.1758056329999995</v>
      </c>
      <c r="L77" s="124">
        <v>17.626299385000003</v>
      </c>
      <c r="M77" s="124">
        <v>3.8759999999999999</v>
      </c>
      <c r="N77" s="124">
        <f>N78-N76-N75</f>
        <v>4.4500000000000028</v>
      </c>
    </row>
    <row r="78" spans="1:14" s="73" customFormat="1" ht="15" thickTop="1" x14ac:dyDescent="0.2">
      <c r="A78" s="25" t="s">
        <v>209</v>
      </c>
      <c r="B78" s="127" t="s">
        <v>6</v>
      </c>
      <c r="C78" s="125">
        <f t="shared" ref="C78:M78" si="6">C77+C76+C75</f>
        <v>15.62</v>
      </c>
      <c r="D78" s="125">
        <f t="shared" si="6"/>
        <v>20.89</v>
      </c>
      <c r="E78" s="125">
        <f t="shared" si="6"/>
        <v>19.350000000000001</v>
      </c>
      <c r="F78" s="125">
        <f t="shared" si="6"/>
        <v>18.240000000000002</v>
      </c>
      <c r="G78" s="125">
        <f t="shared" si="6"/>
        <v>18.810000000000002</v>
      </c>
      <c r="H78" s="125">
        <f t="shared" si="6"/>
        <v>20.149999999999999</v>
      </c>
      <c r="I78" s="125">
        <f t="shared" si="6"/>
        <v>20.759999999999998</v>
      </c>
      <c r="J78" s="125">
        <f t="shared" si="6"/>
        <v>21.63</v>
      </c>
      <c r="K78" s="125">
        <f t="shared" si="6"/>
        <v>22.76898465</v>
      </c>
      <c r="L78" s="125">
        <f t="shared" si="6"/>
        <v>34.250933000000003</v>
      </c>
      <c r="M78" s="125">
        <f t="shared" si="6"/>
        <v>23.692999999999998</v>
      </c>
      <c r="N78" s="125">
        <v>29.96</v>
      </c>
    </row>
    <row r="79" spans="1:14" x14ac:dyDescent="0.2">
      <c r="A79" s="20" t="s">
        <v>145</v>
      </c>
      <c r="B79" s="21"/>
      <c r="C79" s="121"/>
      <c r="D79" s="121"/>
      <c r="E79" s="121"/>
      <c r="F79" s="121"/>
      <c r="G79" s="121"/>
      <c r="H79" s="121"/>
      <c r="I79" s="121"/>
      <c r="J79" s="121"/>
      <c r="K79" s="121"/>
      <c r="L79" s="121"/>
      <c r="M79" s="121"/>
      <c r="N79" s="121"/>
    </row>
    <row r="80" spans="1:14" x14ac:dyDescent="0.2">
      <c r="A80" s="87" t="s">
        <v>212</v>
      </c>
      <c r="B80" s="93" t="s">
        <v>6</v>
      </c>
      <c r="C80" s="122">
        <v>19.52</v>
      </c>
      <c r="D80" s="122">
        <v>16.23</v>
      </c>
      <c r="E80" s="122">
        <v>13.38</v>
      </c>
      <c r="F80" s="122">
        <v>10.84</v>
      </c>
      <c r="G80" s="122">
        <v>8.99</v>
      </c>
      <c r="H80" s="122">
        <v>7.88</v>
      </c>
      <c r="I80" s="122">
        <v>7.08</v>
      </c>
      <c r="J80" s="122">
        <v>3.72</v>
      </c>
      <c r="K80" s="122">
        <v>3.2165953979999999</v>
      </c>
      <c r="L80" s="122">
        <v>2.2602863709999998</v>
      </c>
      <c r="M80" s="122">
        <v>46.77</v>
      </c>
      <c r="N80" s="122">
        <v>52.4</v>
      </c>
    </row>
    <row r="81" spans="1:14" x14ac:dyDescent="0.2">
      <c r="A81" s="87" t="s">
        <v>211</v>
      </c>
      <c r="B81" s="93" t="s">
        <v>6</v>
      </c>
      <c r="C81" s="122">
        <v>6.23</v>
      </c>
      <c r="D81" s="122">
        <v>6.9</v>
      </c>
      <c r="E81" s="122">
        <v>7.7</v>
      </c>
      <c r="F81" s="122">
        <v>5.97</v>
      </c>
      <c r="G81" s="122">
        <v>5.76</v>
      </c>
      <c r="H81" s="122">
        <v>5.66</v>
      </c>
      <c r="I81" s="122">
        <v>5.585</v>
      </c>
      <c r="J81" s="122">
        <v>5.83</v>
      </c>
      <c r="K81" s="122">
        <v>2.8084007510000002</v>
      </c>
      <c r="L81" s="122">
        <v>2.7332432999999998</v>
      </c>
      <c r="M81" s="122">
        <v>3.4</v>
      </c>
      <c r="N81" s="122">
        <v>3.3</v>
      </c>
    </row>
    <row r="82" spans="1:14" ht="15" thickBot="1" x14ac:dyDescent="0.25">
      <c r="A82" s="89" t="s">
        <v>119</v>
      </c>
      <c r="B82" s="96" t="s">
        <v>6</v>
      </c>
      <c r="C82" s="124">
        <v>0</v>
      </c>
      <c r="D82" s="124">
        <v>0</v>
      </c>
      <c r="E82" s="124">
        <v>0</v>
      </c>
      <c r="F82" s="124">
        <v>0</v>
      </c>
      <c r="G82" s="124">
        <v>0</v>
      </c>
      <c r="H82" s="124">
        <v>0</v>
      </c>
      <c r="I82" s="124">
        <v>0</v>
      </c>
      <c r="J82" s="124">
        <v>1.42</v>
      </c>
      <c r="K82" s="124">
        <v>8.0266657962999979</v>
      </c>
      <c r="L82" s="124">
        <v>106.24308175199999</v>
      </c>
      <c r="M82" s="124">
        <v>77.317999999999998</v>
      </c>
      <c r="N82" s="124">
        <v>77.739999999999981</v>
      </c>
    </row>
    <row r="83" spans="1:14" s="73" customFormat="1" ht="15" thickTop="1" x14ac:dyDescent="0.2">
      <c r="A83" s="25" t="s">
        <v>209</v>
      </c>
      <c r="B83" s="100" t="s">
        <v>6</v>
      </c>
      <c r="C83" s="125">
        <f t="shared" ref="C83:L83" si="7">C82+C81+C80</f>
        <v>25.75</v>
      </c>
      <c r="D83" s="125">
        <f t="shared" si="7"/>
        <v>23.130000000000003</v>
      </c>
      <c r="E83" s="125">
        <f t="shared" si="7"/>
        <v>21.080000000000002</v>
      </c>
      <c r="F83" s="125">
        <f t="shared" si="7"/>
        <v>16.809999999999999</v>
      </c>
      <c r="G83" s="125">
        <f t="shared" si="7"/>
        <v>14.75</v>
      </c>
      <c r="H83" s="125">
        <f t="shared" si="7"/>
        <v>13.54</v>
      </c>
      <c r="I83" s="125">
        <f t="shared" si="7"/>
        <v>12.664999999999999</v>
      </c>
      <c r="J83" s="125">
        <f t="shared" si="7"/>
        <v>10.97</v>
      </c>
      <c r="K83" s="125">
        <f t="shared" si="7"/>
        <v>14.051661945299998</v>
      </c>
      <c r="L83" s="125">
        <f t="shared" si="7"/>
        <v>111.236611423</v>
      </c>
      <c r="M83" s="125">
        <v>127</v>
      </c>
      <c r="N83" s="125">
        <v>133.44</v>
      </c>
    </row>
    <row r="84" spans="1:14" x14ac:dyDescent="0.2">
      <c r="A84" s="20" t="s">
        <v>214</v>
      </c>
      <c r="B84" s="21"/>
      <c r="C84" s="128"/>
      <c r="D84" s="128"/>
      <c r="E84" s="128"/>
      <c r="F84" s="128"/>
      <c r="G84" s="128"/>
      <c r="H84" s="128"/>
      <c r="I84" s="128"/>
      <c r="J84" s="128"/>
      <c r="K84" s="128"/>
      <c r="L84" s="128"/>
      <c r="M84" s="121"/>
      <c r="N84" s="121"/>
    </row>
    <row r="85" spans="1:14" x14ac:dyDescent="0.2">
      <c r="A85" s="129" t="s">
        <v>146</v>
      </c>
      <c r="B85" s="88" t="s">
        <v>5</v>
      </c>
      <c r="C85" s="130" t="s">
        <v>65</v>
      </c>
      <c r="D85" s="130" t="s">
        <v>65</v>
      </c>
      <c r="E85" s="130" t="s">
        <v>65</v>
      </c>
      <c r="F85" s="130" t="s">
        <v>65</v>
      </c>
      <c r="G85" s="130" t="s">
        <v>65</v>
      </c>
      <c r="H85" s="131">
        <f>72/1000</f>
        <v>7.1999999999999995E-2</v>
      </c>
      <c r="I85" s="131">
        <f>59.926/1000</f>
        <v>5.9926E-2</v>
      </c>
      <c r="J85" s="131">
        <f>62.704/1000</f>
        <v>6.2703999999999996E-2</v>
      </c>
      <c r="K85" s="131">
        <f>42.07025/1000</f>
        <v>4.2070250000000003E-2</v>
      </c>
      <c r="L85" s="131">
        <f>43/1000</f>
        <v>4.2999999999999997E-2</v>
      </c>
      <c r="M85" s="131">
        <f>40/1000</f>
        <v>0.04</v>
      </c>
      <c r="N85" s="131">
        <f>16/1000</f>
        <v>1.6E-2</v>
      </c>
    </row>
    <row r="86" spans="1:14" x14ac:dyDescent="0.2">
      <c r="A86" s="129" t="s">
        <v>147</v>
      </c>
      <c r="B86" s="88" t="s">
        <v>5</v>
      </c>
      <c r="C86" s="130" t="s">
        <v>65</v>
      </c>
      <c r="D86" s="130" t="s">
        <v>65</v>
      </c>
      <c r="E86" s="130" t="s">
        <v>65</v>
      </c>
      <c r="F86" s="130" t="s">
        <v>65</v>
      </c>
      <c r="G86" s="130" t="s">
        <v>65</v>
      </c>
      <c r="H86" s="77">
        <f>5.8135</f>
        <v>5.8135000000000003</v>
      </c>
      <c r="I86" s="131">
        <f>2.441369</f>
        <v>2.4413689999999999</v>
      </c>
      <c r="J86" s="77">
        <f>1.125651</f>
        <v>1.125651</v>
      </c>
      <c r="K86" s="77">
        <f>30.0225/1000</f>
        <v>3.0022500000000001E-2</v>
      </c>
      <c r="L86" s="77">
        <f>53/1000</f>
        <v>5.2999999999999999E-2</v>
      </c>
      <c r="M86" s="77">
        <f>47/1000</f>
        <v>4.7E-2</v>
      </c>
      <c r="N86" s="77">
        <f>40/1000</f>
        <v>0.04</v>
      </c>
    </row>
    <row r="87" spans="1:14" x14ac:dyDescent="0.2">
      <c r="A87" s="129" t="s">
        <v>148</v>
      </c>
      <c r="B87" s="88" t="s">
        <v>5</v>
      </c>
      <c r="C87" s="130" t="s">
        <v>65</v>
      </c>
      <c r="D87" s="130" t="s">
        <v>65</v>
      </c>
      <c r="E87" s="130" t="s">
        <v>65</v>
      </c>
      <c r="F87" s="130" t="s">
        <v>65</v>
      </c>
      <c r="G87" s="130" t="s">
        <v>65</v>
      </c>
      <c r="H87" s="77">
        <f>29.8611</f>
        <v>29.8611</v>
      </c>
      <c r="I87" s="131">
        <f>12.296726</f>
        <v>12.296726</v>
      </c>
      <c r="J87" s="77">
        <f>15.235915</f>
        <v>15.235915</v>
      </c>
      <c r="K87" s="77">
        <f>5.192851</f>
        <v>5.1928510000000001</v>
      </c>
      <c r="L87" s="77">
        <v>7.0449999999999999</v>
      </c>
      <c r="M87" s="77">
        <f>5641/1000</f>
        <v>5.641</v>
      </c>
      <c r="N87" s="77">
        <f>5654/1000</f>
        <v>5.6539999999999999</v>
      </c>
    </row>
    <row r="88" spans="1:14" x14ac:dyDescent="0.2">
      <c r="A88" s="129" t="s">
        <v>149</v>
      </c>
      <c r="B88" s="88" t="s">
        <v>5</v>
      </c>
      <c r="C88" s="130" t="s">
        <v>65</v>
      </c>
      <c r="D88" s="130" t="s">
        <v>65</v>
      </c>
      <c r="E88" s="130" t="s">
        <v>65</v>
      </c>
      <c r="F88" s="130" t="s">
        <v>65</v>
      </c>
      <c r="G88" s="130" t="s">
        <v>65</v>
      </c>
      <c r="H88" s="77">
        <f>1113.548</f>
        <v>1113.548</v>
      </c>
      <c r="I88" s="131">
        <f>1189.921717</f>
        <v>1189.9217169999999</v>
      </c>
      <c r="J88" s="77">
        <f>1191.0718</f>
        <v>1191.0717999999999</v>
      </c>
      <c r="K88" s="77">
        <f>1114.5969202</f>
        <v>1114.5969202000001</v>
      </c>
      <c r="L88" s="77">
        <v>1175.1690000000001</v>
      </c>
      <c r="M88" s="77">
        <f>1487090/1000</f>
        <v>1487.09</v>
      </c>
      <c r="N88" s="77">
        <f>1535464/1000</f>
        <v>1535.4639999999999</v>
      </c>
    </row>
    <row r="89" spans="1:14" ht="15" thickBot="1" x14ac:dyDescent="0.25">
      <c r="A89" s="132" t="s">
        <v>150</v>
      </c>
      <c r="B89" s="90" t="s">
        <v>5</v>
      </c>
      <c r="C89" s="79" t="s">
        <v>65</v>
      </c>
      <c r="D89" s="79" t="s">
        <v>65</v>
      </c>
      <c r="E89" s="79" t="s">
        <v>65</v>
      </c>
      <c r="F89" s="79" t="s">
        <v>65</v>
      </c>
      <c r="G89" s="79" t="s">
        <v>65</v>
      </c>
      <c r="H89" s="133">
        <f>32118.3691</f>
        <v>32118.3691</v>
      </c>
      <c r="I89" s="134">
        <f>30721.75619</f>
        <v>30721.75619</v>
      </c>
      <c r="J89" s="133">
        <f>29517.073601</f>
        <v>29517.073601</v>
      </c>
      <c r="K89" s="133">
        <f>35300.0886247</f>
        <v>35300.088624700002</v>
      </c>
      <c r="L89" s="133">
        <v>144051.988667</v>
      </c>
      <c r="M89" s="133">
        <f>154923270/1000</f>
        <v>154923.26999999999</v>
      </c>
      <c r="N89" s="133">
        <f>164742056/1000</f>
        <v>164742.05600000001</v>
      </c>
    </row>
    <row r="90" spans="1:14" s="73" customFormat="1" ht="15" thickTop="1" x14ac:dyDescent="0.2">
      <c r="A90" s="25" t="s">
        <v>160</v>
      </c>
      <c r="B90" s="135" t="s">
        <v>5</v>
      </c>
      <c r="C90" s="70" t="s">
        <v>65</v>
      </c>
      <c r="D90" s="70" t="s">
        <v>65</v>
      </c>
      <c r="E90" s="70" t="s">
        <v>65</v>
      </c>
      <c r="F90" s="70" t="s">
        <v>65</v>
      </c>
      <c r="G90" s="70" t="s">
        <v>65</v>
      </c>
      <c r="H90" s="136">
        <f t="shared" ref="H90:M90" si="8">H85+H86+H87+H88+H89</f>
        <v>33267.663699999997</v>
      </c>
      <c r="I90" s="136">
        <f t="shared" si="8"/>
        <v>31926.475928</v>
      </c>
      <c r="J90" s="136">
        <f t="shared" si="8"/>
        <v>30724.569671000001</v>
      </c>
      <c r="K90" s="136">
        <f t="shared" si="8"/>
        <v>36419.95048865</v>
      </c>
      <c r="L90" s="136">
        <f t="shared" si="8"/>
        <v>145234.298667</v>
      </c>
      <c r="M90" s="136">
        <f t="shared" si="8"/>
        <v>156416.08799999999</v>
      </c>
      <c r="N90" s="136">
        <f>N85+N86+N87+N88+N89</f>
        <v>166283.23000000001</v>
      </c>
    </row>
    <row r="91" spans="1:14" x14ac:dyDescent="0.2">
      <c r="A91" s="16" t="s">
        <v>128</v>
      </c>
      <c r="B91" s="83"/>
      <c r="C91" s="84"/>
      <c r="D91" s="84"/>
      <c r="E91" s="84"/>
      <c r="F91" s="85"/>
      <c r="G91" s="85"/>
      <c r="H91" s="85"/>
      <c r="I91" s="85"/>
      <c r="J91" s="85"/>
      <c r="K91" s="85"/>
      <c r="L91" s="85"/>
      <c r="M91" s="85"/>
      <c r="N91" s="137"/>
    </row>
    <row r="92" spans="1:14" s="141" customFormat="1" x14ac:dyDescent="0.2">
      <c r="A92" s="138" t="s">
        <v>121</v>
      </c>
      <c r="B92" s="93" t="s">
        <v>90</v>
      </c>
      <c r="C92" s="130" t="s">
        <v>65</v>
      </c>
      <c r="D92" s="130" t="s">
        <v>65</v>
      </c>
      <c r="E92" s="130" t="s">
        <v>65</v>
      </c>
      <c r="F92" s="130" t="s">
        <v>65</v>
      </c>
      <c r="G92" s="139">
        <f>G93+G94+G95+G96</f>
        <v>161710</v>
      </c>
      <c r="H92" s="139">
        <f>H93+H94+H95+H96</f>
        <v>172425</v>
      </c>
      <c r="I92" s="139">
        <f>I93+I94+I95+I96</f>
        <v>156568</v>
      </c>
      <c r="J92" s="140">
        <f>J93+J94+J95+J96</f>
        <v>148910</v>
      </c>
      <c r="K92" s="140">
        <f>K93+K94+K95+K96+1</f>
        <v>144772</v>
      </c>
      <c r="L92" s="140">
        <v>141238</v>
      </c>
      <c r="M92" s="140">
        <v>151235</v>
      </c>
      <c r="N92" s="140">
        <v>141383</v>
      </c>
    </row>
    <row r="93" spans="1:14" x14ac:dyDescent="0.2">
      <c r="A93" s="142" t="s">
        <v>97</v>
      </c>
      <c r="B93" s="93" t="s">
        <v>90</v>
      </c>
      <c r="C93" s="130" t="s">
        <v>65</v>
      </c>
      <c r="D93" s="130" t="s">
        <v>65</v>
      </c>
      <c r="E93" s="130" t="s">
        <v>65</v>
      </c>
      <c r="F93" s="130" t="s">
        <v>65</v>
      </c>
      <c r="G93" s="139">
        <v>145266</v>
      </c>
      <c r="H93" s="34">
        <v>151081</v>
      </c>
      <c r="I93" s="34">
        <v>134709</v>
      </c>
      <c r="J93" s="34">
        <v>129335</v>
      </c>
      <c r="K93" s="34">
        <v>125329</v>
      </c>
      <c r="L93" s="34">
        <v>122216</v>
      </c>
      <c r="M93" s="34">
        <v>130867</v>
      </c>
      <c r="N93" s="34">
        <v>125933</v>
      </c>
    </row>
    <row r="94" spans="1:14" ht="15.75" x14ac:dyDescent="0.2">
      <c r="A94" s="142" t="s">
        <v>99</v>
      </c>
      <c r="B94" s="93" t="s">
        <v>90</v>
      </c>
      <c r="C94" s="130" t="s">
        <v>65</v>
      </c>
      <c r="D94" s="130" t="s">
        <v>65</v>
      </c>
      <c r="E94" s="130" t="s">
        <v>65</v>
      </c>
      <c r="F94" s="130" t="s">
        <v>65</v>
      </c>
      <c r="G94" s="139">
        <v>12274</v>
      </c>
      <c r="H94" s="34">
        <v>15423</v>
      </c>
      <c r="I94" s="34">
        <v>15221</v>
      </c>
      <c r="J94" s="34">
        <v>13788</v>
      </c>
      <c r="K94" s="34">
        <v>13535</v>
      </c>
      <c r="L94" s="143" t="s">
        <v>252</v>
      </c>
      <c r="M94" s="143">
        <v>15097</v>
      </c>
      <c r="N94" s="143">
        <v>13581</v>
      </c>
    </row>
    <row r="95" spans="1:14" x14ac:dyDescent="0.2">
      <c r="A95" s="142" t="s">
        <v>100</v>
      </c>
      <c r="B95" s="93" t="s">
        <v>90</v>
      </c>
      <c r="C95" s="130" t="s">
        <v>65</v>
      </c>
      <c r="D95" s="130" t="s">
        <v>65</v>
      </c>
      <c r="E95" s="130" t="s">
        <v>65</v>
      </c>
      <c r="F95" s="130" t="s">
        <v>65</v>
      </c>
      <c r="G95" s="139">
        <v>0</v>
      </c>
      <c r="H95" s="34">
        <v>3789</v>
      </c>
      <c r="I95" s="34">
        <v>5178</v>
      </c>
      <c r="J95" s="34">
        <v>4127</v>
      </c>
      <c r="K95" s="34">
        <v>3820</v>
      </c>
      <c r="L95" s="34">
        <v>2902</v>
      </c>
      <c r="M95" s="34">
        <v>3715</v>
      </c>
      <c r="N95" s="34">
        <v>311</v>
      </c>
    </row>
    <row r="96" spans="1:14" x14ac:dyDescent="0.2">
      <c r="A96" s="142" t="s">
        <v>98</v>
      </c>
      <c r="B96" s="93" t="s">
        <v>90</v>
      </c>
      <c r="C96" s="130" t="s">
        <v>65</v>
      </c>
      <c r="D96" s="130" t="s">
        <v>65</v>
      </c>
      <c r="E96" s="130" t="s">
        <v>65</v>
      </c>
      <c r="F96" s="130" t="s">
        <v>65</v>
      </c>
      <c r="G96" s="139">
        <v>4170</v>
      </c>
      <c r="H96" s="34">
        <v>2132</v>
      </c>
      <c r="I96" s="34">
        <v>1460</v>
      </c>
      <c r="J96" s="34">
        <v>1660</v>
      </c>
      <c r="K96" s="34">
        <v>2087</v>
      </c>
      <c r="L96" s="144">
        <v>2180</v>
      </c>
      <c r="M96" s="144">
        <v>1557</v>
      </c>
      <c r="N96" s="144">
        <v>1555</v>
      </c>
    </row>
    <row r="97" spans="1:14" x14ac:dyDescent="0.2">
      <c r="A97" s="129" t="s">
        <v>122</v>
      </c>
      <c r="B97" s="93" t="s">
        <v>90</v>
      </c>
      <c r="C97" s="130" t="s">
        <v>65</v>
      </c>
      <c r="D97" s="130" t="s">
        <v>65</v>
      </c>
      <c r="E97" s="130" t="s">
        <v>65</v>
      </c>
      <c r="F97" s="130" t="s">
        <v>65</v>
      </c>
      <c r="G97" s="139">
        <v>17027</v>
      </c>
      <c r="H97" s="139">
        <v>11856</v>
      </c>
      <c r="I97" s="139">
        <v>12414</v>
      </c>
      <c r="J97" s="139">
        <v>14877</v>
      </c>
      <c r="K97" s="139">
        <v>15058</v>
      </c>
      <c r="L97" s="145">
        <v>15310</v>
      </c>
      <c r="M97" s="145">
        <v>14586</v>
      </c>
      <c r="N97" s="145">
        <v>16152</v>
      </c>
    </row>
    <row r="98" spans="1:14" x14ac:dyDescent="0.2">
      <c r="A98" s="129" t="s">
        <v>124</v>
      </c>
      <c r="B98" s="93" t="s">
        <v>90</v>
      </c>
      <c r="C98" s="130" t="s">
        <v>65</v>
      </c>
      <c r="D98" s="130" t="s">
        <v>65</v>
      </c>
      <c r="E98" s="130" t="s">
        <v>65</v>
      </c>
      <c r="F98" s="130" t="s">
        <v>65</v>
      </c>
      <c r="G98" s="139">
        <v>15528</v>
      </c>
      <c r="H98" s="139">
        <v>8968</v>
      </c>
      <c r="I98" s="139">
        <v>10483</v>
      </c>
      <c r="J98" s="139">
        <v>10931</v>
      </c>
      <c r="K98" s="139">
        <v>11331</v>
      </c>
      <c r="L98" s="145">
        <v>11200</v>
      </c>
      <c r="M98" s="145">
        <v>10891</v>
      </c>
      <c r="N98" s="145">
        <v>11005</v>
      </c>
    </row>
    <row r="99" spans="1:14" ht="15" thickBot="1" x14ac:dyDescent="0.25">
      <c r="A99" s="132" t="s">
        <v>123</v>
      </c>
      <c r="B99" s="96" t="s">
        <v>90</v>
      </c>
      <c r="C99" s="79" t="s">
        <v>65</v>
      </c>
      <c r="D99" s="79" t="s">
        <v>65</v>
      </c>
      <c r="E99" s="79" t="s">
        <v>65</v>
      </c>
      <c r="F99" s="79" t="s">
        <v>65</v>
      </c>
      <c r="G99" s="146">
        <v>17918</v>
      </c>
      <c r="H99" s="146">
        <v>19882</v>
      </c>
      <c r="I99" s="146">
        <v>19503</v>
      </c>
      <c r="J99" s="146">
        <v>18926</v>
      </c>
      <c r="K99" s="146">
        <v>18766</v>
      </c>
      <c r="L99" s="147">
        <v>17254</v>
      </c>
      <c r="M99" s="147">
        <v>19974</v>
      </c>
      <c r="N99" s="147">
        <v>18968</v>
      </c>
    </row>
    <row r="100" spans="1:14" s="73" customFormat="1" ht="16.5" thickTop="1" x14ac:dyDescent="0.2">
      <c r="A100" s="148" t="s">
        <v>253</v>
      </c>
      <c r="B100" s="100" t="s">
        <v>90</v>
      </c>
      <c r="C100" s="70" t="s">
        <v>65</v>
      </c>
      <c r="D100" s="70" t="s">
        <v>65</v>
      </c>
      <c r="E100" s="70" t="s">
        <v>65</v>
      </c>
      <c r="F100" s="70" t="s">
        <v>65</v>
      </c>
      <c r="G100" s="29">
        <f>G92+G97+G98-G99</f>
        <v>176347</v>
      </c>
      <c r="H100" s="29">
        <f>H92+H97+H98-H99</f>
        <v>173367</v>
      </c>
      <c r="I100" s="29">
        <f>I92+I97+I98-I99</f>
        <v>159962</v>
      </c>
      <c r="J100" s="36">
        <f>J92+J97+J98-J99</f>
        <v>155792</v>
      </c>
      <c r="K100" s="36">
        <f>K92+K97+K98-K99</f>
        <v>152395</v>
      </c>
      <c r="L100" s="36">
        <v>150128</v>
      </c>
      <c r="M100" s="36">
        <v>156383</v>
      </c>
      <c r="N100" s="36">
        <v>149274</v>
      </c>
    </row>
    <row r="101" spans="1:14" x14ac:dyDescent="0.2">
      <c r="A101" s="129" t="s">
        <v>126</v>
      </c>
      <c r="B101" s="93" t="s">
        <v>90</v>
      </c>
      <c r="C101" s="130" t="s">
        <v>65</v>
      </c>
      <c r="D101" s="130" t="s">
        <v>65</v>
      </c>
      <c r="E101" s="130" t="s">
        <v>65</v>
      </c>
      <c r="F101" s="130" t="s">
        <v>65</v>
      </c>
      <c r="G101" s="149">
        <v>42943</v>
      </c>
      <c r="H101" s="149">
        <v>32530</v>
      </c>
      <c r="I101" s="149">
        <v>32355</v>
      </c>
      <c r="J101" s="149">
        <v>33242</v>
      </c>
      <c r="K101" s="139">
        <v>33338</v>
      </c>
      <c r="L101" s="145">
        <v>32861</v>
      </c>
      <c r="M101" s="145">
        <f>14351+16135</f>
        <v>30486</v>
      </c>
      <c r="N101" s="145">
        <v>31343</v>
      </c>
    </row>
    <row r="102" spans="1:14" x14ac:dyDescent="0.2">
      <c r="A102" s="129" t="s">
        <v>125</v>
      </c>
      <c r="B102" s="88" t="s">
        <v>0</v>
      </c>
      <c r="C102" s="130" t="s">
        <v>65</v>
      </c>
      <c r="D102" s="130" t="s">
        <v>65</v>
      </c>
      <c r="E102" s="130" t="s">
        <v>65</v>
      </c>
      <c r="F102" s="130" t="s">
        <v>65</v>
      </c>
      <c r="G102" s="150">
        <f>G97/G100</f>
        <v>9.6553953285284128E-2</v>
      </c>
      <c r="H102" s="150">
        <f>H97/H100</f>
        <v>6.8386717195313987E-2</v>
      </c>
      <c r="I102" s="150">
        <f>I97/I100</f>
        <v>7.7605931408709569E-2</v>
      </c>
      <c r="J102" s="150">
        <f>J97/J100</f>
        <v>9.5492708226353085E-2</v>
      </c>
      <c r="K102" s="150">
        <f>K97/K100</f>
        <v>9.8809016043833464E-2</v>
      </c>
      <c r="L102" s="150">
        <v>0.10173163049689689</v>
      </c>
      <c r="M102" s="150">
        <v>9.3059755770776714E-2</v>
      </c>
      <c r="N102" s="150">
        <v>0.10798812611986201</v>
      </c>
    </row>
    <row r="103" spans="1:14" x14ac:dyDescent="0.2">
      <c r="A103" s="129" t="s">
        <v>127</v>
      </c>
      <c r="B103" s="88" t="s">
        <v>0</v>
      </c>
      <c r="C103" s="130" t="s">
        <v>65</v>
      </c>
      <c r="D103" s="130" t="s">
        <v>65</v>
      </c>
      <c r="E103" s="130" t="s">
        <v>65</v>
      </c>
      <c r="F103" s="130" t="s">
        <v>65</v>
      </c>
      <c r="G103" s="95">
        <f>39.7%</f>
        <v>0.39700000000000002</v>
      </c>
      <c r="H103" s="151">
        <v>0.36399999999999999</v>
      </c>
      <c r="I103" s="151">
        <v>0.376</v>
      </c>
      <c r="J103" s="151">
        <v>0.436</v>
      </c>
      <c r="K103" s="151">
        <v>0.44500000000000001</v>
      </c>
      <c r="L103" s="151">
        <v>0.4598460180761389</v>
      </c>
      <c r="M103" s="151">
        <v>0.47</v>
      </c>
      <c r="N103" s="151">
        <v>0.50875793638132916</v>
      </c>
    </row>
    <row r="104" spans="1:14" x14ac:dyDescent="0.2">
      <c r="A104" s="129" t="s">
        <v>239</v>
      </c>
      <c r="B104" s="88" t="s">
        <v>0</v>
      </c>
      <c r="C104" s="130" t="s">
        <v>65</v>
      </c>
      <c r="D104" s="130" t="s">
        <v>65</v>
      </c>
      <c r="E104" s="130" t="s">
        <v>65</v>
      </c>
      <c r="F104" s="130" t="s">
        <v>65</v>
      </c>
      <c r="G104" s="151">
        <f>G93/G100</f>
        <v>0.82375090021378305</v>
      </c>
      <c r="H104" s="151">
        <f>H93/H100</f>
        <v>0.87145189107500276</v>
      </c>
      <c r="I104" s="151">
        <f>I93/I100</f>
        <v>0.84213125617334117</v>
      </c>
      <c r="J104" s="151">
        <f>J93/J100</f>
        <v>0.83017741604190198</v>
      </c>
      <c r="K104" s="151">
        <f>K93/K100</f>
        <v>0.82239574789199121</v>
      </c>
      <c r="L104" s="151">
        <v>0.81209882121546373</v>
      </c>
      <c r="M104" s="152">
        <f>M93/M100</f>
        <v>0.83683648478415174</v>
      </c>
      <c r="N104" s="152">
        <v>0.84195571363624211</v>
      </c>
    </row>
    <row r="105" spans="1:14" x14ac:dyDescent="0.2">
      <c r="A105" s="16" t="s">
        <v>62</v>
      </c>
      <c r="B105" s="83"/>
      <c r="C105" s="84"/>
      <c r="D105" s="84"/>
      <c r="E105" s="84"/>
      <c r="F105" s="153"/>
      <c r="G105" s="153"/>
      <c r="H105" s="153"/>
      <c r="I105" s="153"/>
      <c r="J105" s="153"/>
      <c r="K105" s="153"/>
      <c r="L105" s="153"/>
      <c r="M105" s="19"/>
      <c r="N105" s="19"/>
    </row>
    <row r="106" spans="1:14" ht="15.75" x14ac:dyDescent="0.2">
      <c r="A106" s="154" t="s">
        <v>254</v>
      </c>
      <c r="B106" s="88" t="s">
        <v>8</v>
      </c>
      <c r="C106" s="139">
        <f>603.198366791426+3.4</f>
        <v>606.59836679142597</v>
      </c>
      <c r="D106" s="139">
        <f>611.070015759174+2.5</f>
        <v>613.570015759174</v>
      </c>
      <c r="E106" s="139">
        <f>571.464456166792+3</f>
        <v>574.46445616679205</v>
      </c>
      <c r="F106" s="139">
        <f>504.922999242615+3</f>
        <v>507.92299924261499</v>
      </c>
      <c r="G106" s="139">
        <f>387.152444555997+3</f>
        <v>390.15244455599702</v>
      </c>
      <c r="H106" s="140">
        <f>373+2.7</f>
        <v>375.7</v>
      </c>
      <c r="I106" s="140">
        <f>444+1</f>
        <v>445</v>
      </c>
      <c r="J106" s="140">
        <f>507+0.7</f>
        <v>507.7</v>
      </c>
      <c r="K106" s="140">
        <f>596+2.7</f>
        <v>598.70000000000005</v>
      </c>
      <c r="L106" s="140">
        <f>446.292+3.5</f>
        <v>449.79199999999997</v>
      </c>
      <c r="M106" s="140">
        <f>678.917+2.7</f>
        <v>681.61700000000008</v>
      </c>
      <c r="N106" s="140">
        <v>1177.73</v>
      </c>
    </row>
    <row r="107" spans="1:14" x14ac:dyDescent="0.2">
      <c r="A107" s="74" t="s">
        <v>111</v>
      </c>
      <c r="B107" s="88" t="s">
        <v>8</v>
      </c>
      <c r="C107" s="155" t="s">
        <v>65</v>
      </c>
      <c r="D107" s="155" t="s">
        <v>65</v>
      </c>
      <c r="E107" s="155" t="s">
        <v>65</v>
      </c>
      <c r="F107" s="155" t="s">
        <v>65</v>
      </c>
      <c r="G107" s="155" t="s">
        <v>65</v>
      </c>
      <c r="H107" s="105">
        <v>11.188000000000001</v>
      </c>
      <c r="I107" s="140">
        <v>14.928000000000001</v>
      </c>
      <c r="J107" s="140">
        <v>11.11</v>
      </c>
      <c r="K107" s="140">
        <v>13.7</v>
      </c>
      <c r="L107" s="140">
        <v>33.389000000000003</v>
      </c>
      <c r="M107" s="140">
        <v>2019.8332475720974</v>
      </c>
      <c r="N107" s="140">
        <v>50.326999999999998</v>
      </c>
    </row>
    <row r="108" spans="1:14" s="157" customFormat="1" x14ac:dyDescent="0.2">
      <c r="A108" s="16" t="s">
        <v>120</v>
      </c>
      <c r="B108" s="156"/>
      <c r="C108" s="84"/>
      <c r="D108" s="84"/>
      <c r="E108" s="84"/>
      <c r="F108" s="85"/>
      <c r="G108" s="85"/>
      <c r="H108" s="85"/>
      <c r="I108" s="85"/>
      <c r="J108" s="85"/>
      <c r="K108" s="85"/>
      <c r="L108" s="85"/>
      <c r="M108" s="85"/>
      <c r="N108" s="19"/>
    </row>
    <row r="109" spans="1:14" s="157" customFormat="1" x14ac:dyDescent="0.2">
      <c r="A109" s="158" t="s">
        <v>10</v>
      </c>
      <c r="B109" s="159" t="s">
        <v>7</v>
      </c>
      <c r="C109" s="160">
        <v>29.39</v>
      </c>
      <c r="D109" s="160">
        <v>31.093</v>
      </c>
      <c r="E109" s="160">
        <v>31.847999999999999</v>
      </c>
      <c r="F109" s="160">
        <v>38.421700000000001</v>
      </c>
      <c r="G109" s="160">
        <v>60.957900000000002</v>
      </c>
      <c r="H109" s="160">
        <v>67.034899999999993</v>
      </c>
      <c r="I109" s="160">
        <v>58.352899999999998</v>
      </c>
      <c r="J109" s="160">
        <v>62.707799999999999</v>
      </c>
      <c r="K109" s="161">
        <v>64.736199999999997</v>
      </c>
      <c r="L109" s="161">
        <v>72.150000000000006</v>
      </c>
      <c r="M109" s="162">
        <v>73.6541</v>
      </c>
      <c r="N109" s="162">
        <v>68.549400000000006</v>
      </c>
    </row>
    <row r="110" spans="1:14" s="157" customFormat="1" x14ac:dyDescent="0.2">
      <c r="A110" s="158"/>
      <c r="B110" s="159"/>
      <c r="C110" s="163"/>
      <c r="D110" s="163"/>
      <c r="E110" s="163"/>
      <c r="F110" s="163"/>
      <c r="G110" s="163"/>
      <c r="H110" s="163"/>
      <c r="I110" s="163"/>
      <c r="J110" s="163"/>
      <c r="N110" s="164"/>
    </row>
    <row r="111" spans="1:14" x14ac:dyDescent="0.2">
      <c r="A111" s="18" t="s">
        <v>94</v>
      </c>
      <c r="B111" s="165"/>
    </row>
    <row r="112" spans="1:14" ht="17.25" customHeight="1" x14ac:dyDescent="0.2">
      <c r="A112" s="167" t="s">
        <v>92</v>
      </c>
      <c r="B112" s="168" t="s">
        <v>93</v>
      </c>
    </row>
    <row r="113" spans="1:14" ht="99.75" x14ac:dyDescent="0.2">
      <c r="A113" s="169" t="s">
        <v>255</v>
      </c>
      <c r="B113" s="170" t="s">
        <v>236</v>
      </c>
    </row>
    <row r="114" spans="1:14" ht="57" x14ac:dyDescent="0.2">
      <c r="A114" s="171" t="s">
        <v>195</v>
      </c>
      <c r="B114" s="171" t="s">
        <v>130</v>
      </c>
      <c r="N114" s="172"/>
    </row>
    <row r="115" spans="1:14" x14ac:dyDescent="0.2">
      <c r="A115" s="173"/>
      <c r="B115" s="174"/>
    </row>
    <row r="116" spans="1:14" x14ac:dyDescent="0.2">
      <c r="A116" s="175" t="s">
        <v>206</v>
      </c>
      <c r="B116" s="175"/>
    </row>
    <row r="117" spans="1:14" x14ac:dyDescent="0.2">
      <c r="A117" s="176" t="s">
        <v>196</v>
      </c>
    </row>
    <row r="118" spans="1:14" x14ac:dyDescent="0.2">
      <c r="A118" s="176" t="s">
        <v>197</v>
      </c>
    </row>
    <row r="119" spans="1:14" x14ac:dyDescent="0.2">
      <c r="A119" s="176" t="s">
        <v>198</v>
      </c>
    </row>
    <row r="120" spans="1:14" x14ac:dyDescent="0.2">
      <c r="A120" s="176" t="s">
        <v>88</v>
      </c>
      <c r="B120" s="177"/>
      <c r="C120" s="177"/>
      <c r="D120" s="177"/>
      <c r="E120" s="177"/>
      <c r="F120" s="177"/>
      <c r="G120" s="177"/>
      <c r="H120" s="177"/>
    </row>
    <row r="121" spans="1:14" x14ac:dyDescent="0.2">
      <c r="A121" s="176" t="s">
        <v>89</v>
      </c>
      <c r="B121" s="177"/>
      <c r="C121" s="177"/>
      <c r="D121" s="177"/>
      <c r="E121" s="177"/>
      <c r="F121" s="177"/>
      <c r="G121" s="177"/>
      <c r="H121" s="177"/>
    </row>
    <row r="122" spans="1:14" x14ac:dyDescent="0.2">
      <c r="A122" s="176" t="s">
        <v>199</v>
      </c>
    </row>
    <row r="123" spans="1:14" x14ac:dyDescent="0.2">
      <c r="A123" s="176" t="s">
        <v>200</v>
      </c>
    </row>
    <row r="124" spans="1:14" x14ac:dyDescent="0.2">
      <c r="A124" s="176" t="s">
        <v>201</v>
      </c>
    </row>
    <row r="125" spans="1:14" x14ac:dyDescent="0.2">
      <c r="A125" s="176" t="s">
        <v>202</v>
      </c>
    </row>
    <row r="126" spans="1:14" x14ac:dyDescent="0.2">
      <c r="A126" s="176" t="s">
        <v>203</v>
      </c>
    </row>
    <row r="127" spans="1:14" x14ac:dyDescent="0.2">
      <c r="N127" s="178"/>
    </row>
    <row r="128" spans="1:14" x14ac:dyDescent="0.2">
      <c r="N128" s="178"/>
    </row>
    <row r="129" spans="1:14" x14ac:dyDescent="0.2">
      <c r="A129" s="73" t="s">
        <v>31</v>
      </c>
    </row>
    <row r="130" spans="1:14" s="61" customFormat="1" ht="75.75" customHeight="1" x14ac:dyDescent="0.2">
      <c r="A130" s="179" t="s">
        <v>256</v>
      </c>
      <c r="H130" s="10"/>
      <c r="I130" s="10"/>
      <c r="J130" s="10"/>
      <c r="K130" s="10"/>
      <c r="L130" s="10"/>
      <c r="M130" s="10"/>
      <c r="N130" s="166"/>
    </row>
    <row r="131" spans="1:14" s="61" customFormat="1" ht="103.5" customHeight="1" x14ac:dyDescent="0.2">
      <c r="A131" s="180" t="s">
        <v>257</v>
      </c>
      <c r="N131" s="166"/>
    </row>
    <row r="132" spans="1:14" s="61" customFormat="1" ht="44.25" customHeight="1" x14ac:dyDescent="0.2">
      <c r="A132" s="181" t="s">
        <v>258</v>
      </c>
      <c r="N132" s="166"/>
    </row>
    <row r="133" spans="1:14" s="61" customFormat="1" ht="15.75" x14ac:dyDescent="0.2">
      <c r="A133" s="182" t="s">
        <v>259</v>
      </c>
      <c r="B133" s="183"/>
      <c r="C133" s="184"/>
      <c r="D133" s="184"/>
      <c r="E133" s="184"/>
      <c r="F133" s="184"/>
      <c r="G133" s="185"/>
      <c r="H133" s="185"/>
      <c r="I133" s="185"/>
      <c r="J133" s="185"/>
      <c r="N133" s="166"/>
    </row>
    <row r="134" spans="1:14" s="61" customFormat="1" ht="15.75" x14ac:dyDescent="0.2">
      <c r="A134" s="182" t="s">
        <v>260</v>
      </c>
      <c r="B134" s="183"/>
      <c r="C134" s="184"/>
      <c r="D134" s="184"/>
      <c r="E134" s="184"/>
      <c r="F134" s="184"/>
      <c r="G134" s="185"/>
      <c r="H134" s="185"/>
      <c r="I134" s="185"/>
      <c r="J134" s="185"/>
      <c r="N134" s="185"/>
    </row>
    <row r="135" spans="1:14" s="61" customFormat="1" ht="15.75" x14ac:dyDescent="0.2">
      <c r="A135" s="186" t="s">
        <v>261</v>
      </c>
      <c r="B135" s="183"/>
      <c r="C135" s="184"/>
      <c r="D135" s="184"/>
      <c r="E135" s="184"/>
      <c r="F135" s="184"/>
      <c r="G135" s="185"/>
      <c r="H135" s="185"/>
      <c r="I135" s="185"/>
      <c r="J135" s="185"/>
      <c r="N135" s="166"/>
    </row>
    <row r="136" spans="1:14" s="61" customFormat="1" ht="15.75" x14ac:dyDescent="0.2">
      <c r="A136" s="182" t="s">
        <v>262</v>
      </c>
      <c r="B136" s="183"/>
      <c r="C136" s="184"/>
      <c r="D136" s="184"/>
      <c r="E136" s="184"/>
      <c r="F136" s="184"/>
      <c r="G136" s="185"/>
      <c r="H136" s="185"/>
      <c r="I136" s="185"/>
      <c r="J136" s="185"/>
      <c r="N136" s="166"/>
    </row>
  </sheetData>
  <mergeCells count="20">
    <mergeCell ref="D1:D2"/>
    <mergeCell ref="E1:E2"/>
    <mergeCell ref="M1:M2"/>
    <mergeCell ref="N1:N2"/>
    <mergeCell ref="C26:M26"/>
    <mergeCell ref="A116:B116"/>
    <mergeCell ref="L1:L2"/>
    <mergeCell ref="H3:L3"/>
    <mergeCell ref="H5:L5"/>
    <mergeCell ref="F105:L105"/>
    <mergeCell ref="C84:L84"/>
    <mergeCell ref="A1:A2"/>
    <mergeCell ref="B1:B2"/>
    <mergeCell ref="C1:C2"/>
    <mergeCell ref="K1:K2"/>
    <mergeCell ref="G1:G2"/>
    <mergeCell ref="H1:H2"/>
    <mergeCell ref="I1:I2"/>
    <mergeCell ref="J1:J2"/>
    <mergeCell ref="F1:F2"/>
  </mergeCells>
  <hyperlinks>
    <hyperlink ref="A117" r:id="rId1" display="https://www.nornickel.com/upload/iblock/0bd/Environmental_Policy_220721.pdf"/>
    <hyperlink ref="A118" r:id="rId2" display="https://www.nornickel.com/upload/iblock/896/Quality_Policy_271117.pdf"/>
    <hyperlink ref="A119" r:id="rId3" display="https://www.nornickel.com/upload/iblock/988/PJSC_MMC_NORILSK_NICKEL_s_Position_Statement_on_Biodiversity.pdf"/>
    <hyperlink ref="A120" r:id="rId4" display="https://www.nornickel.com/upload/iblock/1bb/Environmental_Impact_Assessment_Policy.pdf"/>
    <hyperlink ref="A121" r:id="rId5" display="https://www.nornickel.com/upload/iblock/ff4/Renewable_Energy_Sources_Policy.pdf"/>
    <hyperlink ref="A122" r:id="rId6" display="https://www.nornickel.com/upload/iblock/5f0/PJSC_MMC_NORILSK_NICKEL_s_Climate_Change_Policy.pdf"/>
    <hyperlink ref="A123" r:id="rId7" display="https://www.nornickel.com/upload/iblock/bc2/PJSC_MMC_NORILSK_NICKEL_s_Tailings_Management_Policy.pdf"/>
    <hyperlink ref="A124" r:id="rId8" display="https://www.nornickel.com/upload/iblock/4cb/PJSC_MMC_NORILSK_NICKEL_s_Position_Statement_on_Water_Stewardship.pdf"/>
    <hyperlink ref="A125" r:id="rId9" display="https://www.nornickel.com/upload/iblock/b45/responsible_sourcing_policy.pdf"/>
    <hyperlink ref="A126" r:id="rId10" display="https://www.nornickel.com/upload/iblock/343/supplier_code_of_conduct.pdf"/>
    <hyperlink ref="P2" location="MENU!A1" display="Menu"/>
  </hyperlinks>
  <pageMargins left="0.25" right="0.25" top="0.75" bottom="0.75" header="0.3" footer="0.3"/>
  <pageSetup paperSize="9" scale="61" fitToHeight="2" orientation="portrait" r:id="rId11"/>
  <ignoredErrors>
    <ignoredError sqref="N1" numberStoredAsText="1"/>
  </ignoredErrors>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176C3"/>
    <pageSetUpPr fitToPage="1"/>
  </sheetPr>
  <dimension ref="A1:XCZ367"/>
  <sheetViews>
    <sheetView showGridLines="0" zoomScale="85" zoomScaleNormal="85" zoomScaleSheetLayoutView="100" workbookViewId="0">
      <pane xSplit="2" ySplit="2" topLeftCell="C72" activePane="bottomRight" state="frozen"/>
      <selection pane="topRight" activeCell="C1" sqref="C1"/>
      <selection pane="bottomLeft" activeCell="A4" sqref="A4"/>
      <selection pane="bottomRight" activeCell="Q19" sqref="Q19"/>
    </sheetView>
  </sheetViews>
  <sheetFormatPr defaultColWidth="9.140625" defaultRowHeight="14.25" zeroHeight="1" x14ac:dyDescent="0.2"/>
  <cols>
    <col min="1" max="1" width="46.85546875" style="10" customWidth="1"/>
    <col min="2" max="2" width="23.5703125" style="10" customWidth="1"/>
    <col min="3" max="10" width="9.7109375" style="10" bestFit="1" customWidth="1"/>
    <col min="11" max="12" width="8.42578125" style="10" customWidth="1"/>
    <col min="13" max="14" width="9.7109375" style="10" bestFit="1" customWidth="1"/>
    <col min="15" max="16384" width="9.140625" style="10"/>
  </cols>
  <sheetData>
    <row r="1" spans="1:16 16326:16328" s="30" customFormat="1" x14ac:dyDescent="0.2">
      <c r="A1" s="6" t="s">
        <v>96</v>
      </c>
      <c r="B1" s="7" t="s">
        <v>9</v>
      </c>
      <c r="C1" s="8">
        <v>2011</v>
      </c>
      <c r="D1" s="8">
        <v>2012</v>
      </c>
      <c r="E1" s="8">
        <v>2013</v>
      </c>
      <c r="F1" s="8">
        <v>2014</v>
      </c>
      <c r="G1" s="8">
        <v>2015</v>
      </c>
      <c r="H1" s="8">
        <v>2016</v>
      </c>
      <c r="I1" s="8">
        <v>2017</v>
      </c>
      <c r="J1" s="8">
        <v>2018</v>
      </c>
      <c r="K1" s="8">
        <v>2019</v>
      </c>
      <c r="L1" s="8">
        <v>2020</v>
      </c>
      <c r="M1" s="8">
        <v>2021</v>
      </c>
      <c r="N1" s="8">
        <v>2022</v>
      </c>
      <c r="XCX1" s="14"/>
      <c r="XCY1" s="14"/>
      <c r="XCZ1" s="14"/>
    </row>
    <row r="2" spans="1:16 16326:16328" s="30" customFormat="1" x14ac:dyDescent="0.2">
      <c r="A2" s="6"/>
      <c r="B2" s="7"/>
      <c r="C2" s="8"/>
      <c r="D2" s="8"/>
      <c r="E2" s="8"/>
      <c r="F2" s="8"/>
      <c r="G2" s="8"/>
      <c r="H2" s="8"/>
      <c r="I2" s="8"/>
      <c r="J2" s="8"/>
      <c r="K2" s="8"/>
      <c r="L2" s="8"/>
      <c r="M2" s="8"/>
      <c r="N2" s="8"/>
      <c r="P2" s="11" t="s">
        <v>241</v>
      </c>
      <c r="XCX2" s="14"/>
      <c r="XCY2" s="14"/>
      <c r="XCZ2" s="14"/>
    </row>
    <row r="3" spans="1:16 16326:16328" s="30" customFormat="1" ht="5.25" customHeight="1" x14ac:dyDescent="0.2">
      <c r="A3" s="12"/>
      <c r="B3" s="13"/>
      <c r="C3" s="14"/>
      <c r="D3" s="14"/>
      <c r="E3" s="14"/>
      <c r="F3" s="14"/>
      <c r="G3" s="14"/>
      <c r="H3" s="14"/>
      <c r="I3" s="15"/>
      <c r="J3" s="15"/>
      <c r="K3" s="15"/>
      <c r="L3" s="15"/>
      <c r="M3" s="187"/>
      <c r="N3" s="187"/>
      <c r="XCX3" s="14"/>
      <c r="XCY3" s="14"/>
      <c r="XCZ3" s="14"/>
    </row>
    <row r="4" spans="1:16 16326:16328" s="30" customFormat="1" x14ac:dyDescent="0.2">
      <c r="A4" s="16" t="s">
        <v>228</v>
      </c>
      <c r="B4" s="17"/>
      <c r="C4" s="18"/>
      <c r="D4" s="18"/>
      <c r="E4" s="19"/>
      <c r="F4" s="19"/>
      <c r="G4" s="19"/>
      <c r="H4" s="19"/>
      <c r="I4" s="19"/>
      <c r="J4" s="19"/>
      <c r="K4" s="19"/>
      <c r="L4" s="19"/>
      <c r="M4" s="19"/>
      <c r="N4" s="19"/>
      <c r="XCX4" s="14"/>
      <c r="XCY4" s="14"/>
      <c r="XCZ4" s="14"/>
    </row>
    <row r="5" spans="1:16 16326:16328" s="30" customFormat="1" x14ac:dyDescent="0.2">
      <c r="A5" s="20" t="s">
        <v>226</v>
      </c>
      <c r="B5" s="21"/>
      <c r="C5" s="23"/>
      <c r="D5" s="23"/>
      <c r="E5" s="23"/>
      <c r="F5" s="23"/>
      <c r="G5" s="23"/>
      <c r="H5" s="23"/>
      <c r="I5" s="23"/>
      <c r="J5" s="23"/>
      <c r="K5" s="23"/>
      <c r="L5" s="23"/>
      <c r="M5" s="86"/>
      <c r="N5" s="86"/>
    </row>
    <row r="6" spans="1:16 16326:16328" s="191" customFormat="1" x14ac:dyDescent="0.2">
      <c r="A6" s="188" t="s">
        <v>34</v>
      </c>
      <c r="B6" s="189" t="s">
        <v>161</v>
      </c>
      <c r="C6" s="190">
        <v>78865.959999999992</v>
      </c>
      <c r="D6" s="190">
        <v>81973</v>
      </c>
      <c r="E6" s="190">
        <v>83005</v>
      </c>
      <c r="F6" s="190">
        <v>79897</v>
      </c>
      <c r="G6" s="190">
        <v>81637</v>
      </c>
      <c r="H6" s="190">
        <v>81080.611428834702</v>
      </c>
      <c r="I6" s="190">
        <f>I8+I9+I10+I11+I7</f>
        <v>77991</v>
      </c>
      <c r="J6" s="190">
        <f>J7+J8+J9+J10+J11</f>
        <v>74926</v>
      </c>
      <c r="K6" s="190">
        <f>K7+K8+K9+K10+K11</f>
        <v>72782</v>
      </c>
      <c r="L6" s="190">
        <f>L7+L8+L9+L10+L11</f>
        <v>71446.546547826176</v>
      </c>
      <c r="M6" s="190">
        <f>M7+M8+M9+M10+M11</f>
        <v>73061.110563796581</v>
      </c>
      <c r="N6" s="190">
        <f>N7+N8+N9+N10+N11</f>
        <v>77979.929751490345</v>
      </c>
    </row>
    <row r="7" spans="1:16 16326:16328" s="195" customFormat="1" x14ac:dyDescent="0.2">
      <c r="A7" s="192" t="s">
        <v>101</v>
      </c>
      <c r="B7" s="189" t="s">
        <v>161</v>
      </c>
      <c r="C7" s="193">
        <v>55442.997999999992</v>
      </c>
      <c r="D7" s="193">
        <v>57627.018999999993</v>
      </c>
      <c r="E7" s="193">
        <v>58602</v>
      </c>
      <c r="F7" s="193">
        <v>56566</v>
      </c>
      <c r="G7" s="193">
        <v>57641</v>
      </c>
      <c r="H7" s="193">
        <v>57039.708783286995</v>
      </c>
      <c r="I7" s="193">
        <v>54075</v>
      </c>
      <c r="J7" s="193">
        <v>50759</v>
      </c>
      <c r="K7" s="190">
        <v>48631</v>
      </c>
      <c r="L7" s="194">
        <v>47228.776070639207</v>
      </c>
      <c r="M7" s="193">
        <v>48717.791993349892</v>
      </c>
      <c r="N7" s="193">
        <v>52147.45764275494</v>
      </c>
    </row>
    <row r="8" spans="1:16 16326:16328" s="195" customFormat="1" x14ac:dyDescent="0.2">
      <c r="A8" s="192" t="s">
        <v>68</v>
      </c>
      <c r="B8" s="189" t="s">
        <v>161</v>
      </c>
      <c r="C8" s="193">
        <f>78866*6.3%+0.4</f>
        <v>4968.9579999999996</v>
      </c>
      <c r="D8" s="193">
        <v>4918.38</v>
      </c>
      <c r="E8" s="193">
        <v>4482</v>
      </c>
      <c r="F8" s="193">
        <v>4205</v>
      </c>
      <c r="G8" s="193">
        <v>4121</v>
      </c>
      <c r="H8" s="193">
        <v>3903.6349999999998</v>
      </c>
      <c r="I8" s="193">
        <v>3835</v>
      </c>
      <c r="J8" s="193">
        <v>3527</v>
      </c>
      <c r="K8" s="190">
        <v>3417</v>
      </c>
      <c r="L8" s="194">
        <v>4257.9058022515001</v>
      </c>
      <c r="M8" s="193">
        <v>4128.6170362453995</v>
      </c>
      <c r="N8" s="193">
        <v>3698.3028968940594</v>
      </c>
    </row>
    <row r="9" spans="1:16 16326:16328" s="196" customFormat="1" x14ac:dyDescent="0.2">
      <c r="A9" s="192" t="s">
        <v>56</v>
      </c>
      <c r="B9" s="189" t="s">
        <v>161</v>
      </c>
      <c r="C9" s="193">
        <v>14985</v>
      </c>
      <c r="D9" s="193">
        <v>15165.004999999999</v>
      </c>
      <c r="E9" s="193">
        <v>15024</v>
      </c>
      <c r="F9" s="193">
        <v>13921</v>
      </c>
      <c r="G9" s="193">
        <v>14403</v>
      </c>
      <c r="H9" s="193">
        <f>[3]ГОД!$O$139</f>
        <v>12972.967688172042</v>
      </c>
      <c r="I9" s="193">
        <v>13036</v>
      </c>
      <c r="J9" s="193">
        <v>12579</v>
      </c>
      <c r="K9" s="190">
        <v>12287</v>
      </c>
      <c r="L9" s="194">
        <v>12191.819458407934</v>
      </c>
      <c r="M9" s="193">
        <v>11684.855398370602</v>
      </c>
      <c r="N9" s="193">
        <v>12116.500614325905</v>
      </c>
    </row>
    <row r="10" spans="1:16 16326:16328" s="196" customFormat="1" x14ac:dyDescent="0.2">
      <c r="A10" s="192" t="s">
        <v>91</v>
      </c>
      <c r="B10" s="189" t="s">
        <v>161</v>
      </c>
      <c r="C10" s="197">
        <v>656</v>
      </c>
      <c r="D10" s="197">
        <v>1172</v>
      </c>
      <c r="E10" s="197">
        <v>1405</v>
      </c>
      <c r="F10" s="197">
        <v>1587.79</v>
      </c>
      <c r="G10" s="197">
        <v>1796.46</v>
      </c>
      <c r="H10" s="197">
        <v>2118.0321666666669</v>
      </c>
      <c r="I10" s="193">
        <v>2781</v>
      </c>
      <c r="J10" s="193">
        <v>3382</v>
      </c>
      <c r="K10" s="190">
        <v>3340</v>
      </c>
      <c r="L10" s="194">
        <v>2839.1555335000999</v>
      </c>
      <c r="M10" s="193">
        <v>2669.8077636669</v>
      </c>
      <c r="N10" s="193">
        <v>2787.7079088334858</v>
      </c>
    </row>
    <row r="11" spans="1:16 16326:16328" s="196" customFormat="1" x14ac:dyDescent="0.2">
      <c r="A11" s="192" t="s">
        <v>57</v>
      </c>
      <c r="B11" s="189" t="s">
        <v>161</v>
      </c>
      <c r="C11" s="193">
        <f>78866*4.4%-0.1-1</f>
        <v>3469.0040000000004</v>
      </c>
      <c r="D11" s="193">
        <v>4262.5960000000005</v>
      </c>
      <c r="E11" s="193">
        <v>4897</v>
      </c>
      <c r="F11" s="193">
        <v>5205</v>
      </c>
      <c r="G11" s="193">
        <v>5472</v>
      </c>
      <c r="H11" s="193">
        <f>[3]ГОД!$O$141-[3]ГОД!$O$39-[3]ГОД!$O$44</f>
        <v>7164.2999573756724</v>
      </c>
      <c r="I11" s="193">
        <v>4264</v>
      </c>
      <c r="J11" s="193">
        <v>4679</v>
      </c>
      <c r="K11" s="190">
        <v>5107</v>
      </c>
      <c r="L11" s="194">
        <v>4928.8896830274334</v>
      </c>
      <c r="M11" s="193">
        <v>5860.0383721637972</v>
      </c>
      <c r="N11" s="193">
        <v>7229.9606886819538</v>
      </c>
    </row>
    <row r="12" spans="1:16 16326:16328" s="191" customFormat="1" x14ac:dyDescent="0.2">
      <c r="A12" s="188" t="s">
        <v>51</v>
      </c>
      <c r="B12" s="189" t="s">
        <v>161</v>
      </c>
      <c r="C12" s="190">
        <v>303</v>
      </c>
      <c r="D12" s="190">
        <v>315</v>
      </c>
      <c r="E12" s="190">
        <v>297</v>
      </c>
      <c r="F12" s="190">
        <v>290</v>
      </c>
      <c r="G12" s="190">
        <v>307</v>
      </c>
      <c r="H12" s="190">
        <v>311</v>
      </c>
      <c r="I12" s="190">
        <v>326</v>
      </c>
      <c r="J12" s="190">
        <v>330</v>
      </c>
      <c r="K12" s="190">
        <v>326</v>
      </c>
      <c r="L12" s="194">
        <v>323.25</v>
      </c>
      <c r="M12" s="190">
        <v>317</v>
      </c>
      <c r="N12" s="190">
        <v>331</v>
      </c>
    </row>
    <row r="13" spans="1:16 16326:16328" s="191" customFormat="1" x14ac:dyDescent="0.2">
      <c r="A13" s="188" t="s">
        <v>52</v>
      </c>
      <c r="B13" s="189" t="s">
        <v>161</v>
      </c>
      <c r="C13" s="190">
        <v>1797</v>
      </c>
      <c r="D13" s="190">
        <v>1660</v>
      </c>
      <c r="E13" s="190">
        <v>1598</v>
      </c>
      <c r="F13" s="190">
        <v>1631</v>
      </c>
      <c r="G13" s="190">
        <v>1650</v>
      </c>
      <c r="H13" s="190">
        <v>586</v>
      </c>
      <c r="I13" s="190">
        <v>605</v>
      </c>
      <c r="J13" s="190">
        <v>617</v>
      </c>
      <c r="K13" s="190">
        <v>577</v>
      </c>
      <c r="L13" s="194">
        <v>519</v>
      </c>
      <c r="M13" s="190">
        <v>151</v>
      </c>
      <c r="N13" s="190">
        <v>38</v>
      </c>
    </row>
    <row r="14" spans="1:16 16326:16328" s="191" customFormat="1" x14ac:dyDescent="0.2">
      <c r="A14" s="198" t="s">
        <v>53</v>
      </c>
      <c r="B14" s="189" t="s">
        <v>161</v>
      </c>
      <c r="C14" s="194">
        <v>9</v>
      </c>
      <c r="D14" s="194">
        <v>9</v>
      </c>
      <c r="E14" s="194">
        <v>10</v>
      </c>
      <c r="F14" s="194">
        <v>10</v>
      </c>
      <c r="G14" s="194">
        <v>10</v>
      </c>
      <c r="H14" s="194">
        <v>10</v>
      </c>
      <c r="I14" s="194">
        <v>10</v>
      </c>
      <c r="J14" s="194">
        <v>10</v>
      </c>
      <c r="K14" s="194">
        <v>9</v>
      </c>
      <c r="L14" s="194">
        <v>10</v>
      </c>
      <c r="M14" s="190">
        <v>10</v>
      </c>
      <c r="N14" s="190">
        <v>10</v>
      </c>
    </row>
    <row r="15" spans="1:16 16326:16328" s="191" customFormat="1" x14ac:dyDescent="0.2">
      <c r="A15" s="198" t="s">
        <v>54</v>
      </c>
      <c r="B15" s="189" t="s">
        <v>161</v>
      </c>
      <c r="C15" s="194">
        <v>84</v>
      </c>
      <c r="D15" s="194">
        <v>106</v>
      </c>
      <c r="E15" s="194">
        <v>73</v>
      </c>
      <c r="F15" s="194">
        <v>15</v>
      </c>
      <c r="G15" s="194">
        <v>6</v>
      </c>
      <c r="H15" s="194">
        <v>5</v>
      </c>
      <c r="I15" s="194">
        <v>5</v>
      </c>
      <c r="J15" s="194">
        <v>5</v>
      </c>
      <c r="K15" s="194">
        <v>5</v>
      </c>
      <c r="L15" s="194">
        <v>5</v>
      </c>
      <c r="M15" s="190">
        <v>3</v>
      </c>
      <c r="N15" s="190">
        <v>0</v>
      </c>
    </row>
    <row r="16" spans="1:16 16326:16328" s="191" customFormat="1" ht="15" thickBot="1" x14ac:dyDescent="0.25">
      <c r="A16" s="199" t="s">
        <v>55</v>
      </c>
      <c r="B16" s="200" t="s">
        <v>161</v>
      </c>
      <c r="C16" s="201">
        <v>17</v>
      </c>
      <c r="D16" s="201">
        <v>19</v>
      </c>
      <c r="E16" s="201">
        <v>15</v>
      </c>
      <c r="F16" s="201">
        <v>12</v>
      </c>
      <c r="G16" s="201">
        <f>12+2</f>
        <v>14</v>
      </c>
      <c r="H16" s="201">
        <v>13</v>
      </c>
      <c r="I16" s="201">
        <v>13</v>
      </c>
      <c r="J16" s="201">
        <v>13</v>
      </c>
      <c r="K16" s="201">
        <v>16</v>
      </c>
      <c r="L16" s="201">
        <v>15</v>
      </c>
      <c r="M16" s="202">
        <v>15</v>
      </c>
      <c r="N16" s="202">
        <v>15</v>
      </c>
    </row>
    <row r="17" spans="1:14" s="191" customFormat="1" ht="15" thickTop="1" x14ac:dyDescent="0.2">
      <c r="A17" s="203" t="s">
        <v>227</v>
      </c>
      <c r="B17" s="204" t="s">
        <v>161</v>
      </c>
      <c r="C17" s="205">
        <v>81075.959999999992</v>
      </c>
      <c r="D17" s="205">
        <v>84082</v>
      </c>
      <c r="E17" s="205">
        <v>84998</v>
      </c>
      <c r="F17" s="205">
        <v>81855</v>
      </c>
      <c r="G17" s="205">
        <v>83624</v>
      </c>
      <c r="H17" s="205">
        <v>82005.611428834702</v>
      </c>
      <c r="I17" s="205">
        <f>I6+I12+I13+I14+I15+I16</f>
        <v>78950</v>
      </c>
      <c r="J17" s="205">
        <f>J6+J12+J13+J14+J15+J16</f>
        <v>75901</v>
      </c>
      <c r="K17" s="205">
        <f>K6+K12+K13+K14+K15+K16</f>
        <v>73715</v>
      </c>
      <c r="L17" s="205">
        <f>L6+L12+L13+L14+L15+L16</f>
        <v>72318.796547826176</v>
      </c>
      <c r="M17" s="206">
        <f>M6+M13+M14+M15+M16+M12</f>
        <v>73557.110563796581</v>
      </c>
      <c r="N17" s="206">
        <f>N6+N13+N14+N15+N16+N12</f>
        <v>78373.929751490345</v>
      </c>
    </row>
    <row r="18" spans="1:14" s="191" customFormat="1" x14ac:dyDescent="0.2">
      <c r="A18" s="20" t="s">
        <v>229</v>
      </c>
      <c r="B18" s="21"/>
      <c r="C18" s="23"/>
      <c r="D18" s="23"/>
      <c r="E18" s="23"/>
      <c r="F18" s="23"/>
      <c r="G18" s="23"/>
      <c r="H18" s="23"/>
      <c r="I18" s="23"/>
      <c r="J18" s="23"/>
      <c r="K18" s="23"/>
      <c r="L18" s="23"/>
      <c r="M18" s="86"/>
      <c r="N18" s="86"/>
    </row>
    <row r="19" spans="1:14" s="191" customFormat="1" x14ac:dyDescent="0.2">
      <c r="A19" s="198" t="s">
        <v>112</v>
      </c>
      <c r="B19" s="189" t="s">
        <v>161</v>
      </c>
      <c r="C19" s="207" t="s">
        <v>65</v>
      </c>
      <c r="D19" s="207" t="s">
        <v>65</v>
      </c>
      <c r="E19" s="207" t="s">
        <v>65</v>
      </c>
      <c r="F19" s="207" t="s">
        <v>65</v>
      </c>
      <c r="G19" s="207" t="s">
        <v>65</v>
      </c>
      <c r="H19" s="207" t="s">
        <v>65</v>
      </c>
      <c r="I19" s="207" t="s">
        <v>65</v>
      </c>
      <c r="J19" s="190">
        <v>32529</v>
      </c>
      <c r="K19" s="190">
        <v>29794.983180325024</v>
      </c>
      <c r="L19" s="194">
        <v>28109.270260430039</v>
      </c>
      <c r="M19" s="190">
        <v>28951.350408229097</v>
      </c>
      <c r="N19" s="190">
        <v>31442.552619280141</v>
      </c>
    </row>
    <row r="20" spans="1:14" s="191" customFormat="1" x14ac:dyDescent="0.2">
      <c r="A20" s="198" t="s">
        <v>113</v>
      </c>
      <c r="B20" s="189" t="s">
        <v>161</v>
      </c>
      <c r="C20" s="207" t="s">
        <v>65</v>
      </c>
      <c r="D20" s="207" t="s">
        <v>65</v>
      </c>
      <c r="E20" s="207" t="s">
        <v>65</v>
      </c>
      <c r="F20" s="207" t="s">
        <v>65</v>
      </c>
      <c r="G20" s="207" t="s">
        <v>65</v>
      </c>
      <c r="H20" s="207" t="s">
        <v>65</v>
      </c>
      <c r="I20" s="207" t="s">
        <v>65</v>
      </c>
      <c r="J20" s="190">
        <v>17787.095519083319</v>
      </c>
      <c r="K20" s="190">
        <v>18202.638791583271</v>
      </c>
      <c r="L20" s="194">
        <v>18034.844166666651</v>
      </c>
      <c r="M20" s="190">
        <v>17084.158600834726</v>
      </c>
      <c r="N20" s="190">
        <v>17034.703673001681</v>
      </c>
    </row>
    <row r="21" spans="1:14" s="191" customFormat="1" x14ac:dyDescent="0.2">
      <c r="A21" s="198" t="s">
        <v>114</v>
      </c>
      <c r="B21" s="189" t="s">
        <v>161</v>
      </c>
      <c r="C21" s="207" t="s">
        <v>65</v>
      </c>
      <c r="D21" s="207" t="s">
        <v>65</v>
      </c>
      <c r="E21" s="207" t="s">
        <v>65</v>
      </c>
      <c r="F21" s="207" t="s">
        <v>65</v>
      </c>
      <c r="G21" s="207" t="s">
        <v>65</v>
      </c>
      <c r="H21" s="207" t="s">
        <v>65</v>
      </c>
      <c r="I21" s="207" t="s">
        <v>65</v>
      </c>
      <c r="J21" s="190">
        <v>12434.4</v>
      </c>
      <c r="K21" s="190">
        <v>12608.788790483886</v>
      </c>
      <c r="L21" s="194">
        <v>12528.4023808333</v>
      </c>
      <c r="M21" s="190">
        <v>12619.093312623172</v>
      </c>
      <c r="N21" s="190">
        <v>12699.487703373939</v>
      </c>
    </row>
    <row r="22" spans="1:14" s="191" customFormat="1" x14ac:dyDescent="0.2">
      <c r="A22" s="198" t="s">
        <v>117</v>
      </c>
      <c r="B22" s="189" t="s">
        <v>161</v>
      </c>
      <c r="C22" s="208" t="s">
        <v>65</v>
      </c>
      <c r="D22" s="208" t="s">
        <v>65</v>
      </c>
      <c r="E22" s="208" t="s">
        <v>65</v>
      </c>
      <c r="F22" s="208" t="s">
        <v>65</v>
      </c>
      <c r="G22" s="208" t="s">
        <v>65</v>
      </c>
      <c r="H22" s="208" t="s">
        <v>65</v>
      </c>
      <c r="I22" s="208" t="s">
        <v>65</v>
      </c>
      <c r="J22" s="190">
        <v>6168.5408333333035</v>
      </c>
      <c r="K22" s="190">
        <v>5705.0689089166517</v>
      </c>
      <c r="L22" s="194">
        <v>5547.4130750414242</v>
      </c>
      <c r="M22" s="190">
        <v>5770.8549378405387</v>
      </c>
      <c r="N22" s="190">
        <v>6279.9717731263663</v>
      </c>
    </row>
    <row r="23" spans="1:14" s="191" customFormat="1" x14ac:dyDescent="0.2">
      <c r="A23" s="198" t="s">
        <v>115</v>
      </c>
      <c r="B23" s="189" t="s">
        <v>161</v>
      </c>
      <c r="C23" s="208" t="s">
        <v>65</v>
      </c>
      <c r="D23" s="208" t="s">
        <v>65</v>
      </c>
      <c r="E23" s="208" t="s">
        <v>65</v>
      </c>
      <c r="F23" s="208" t="s">
        <v>65</v>
      </c>
      <c r="G23" s="208" t="s">
        <v>65</v>
      </c>
      <c r="H23" s="208" t="s">
        <v>65</v>
      </c>
      <c r="I23" s="208" t="s">
        <v>65</v>
      </c>
      <c r="J23" s="190">
        <v>878.79333333333329</v>
      </c>
      <c r="K23" s="190">
        <v>860.62999999999988</v>
      </c>
      <c r="L23" s="194">
        <v>898.78359133332629</v>
      </c>
      <c r="M23" s="190">
        <v>938.71038308338279</v>
      </c>
      <c r="N23" s="190">
        <v>1022.4225366667534</v>
      </c>
    </row>
    <row r="24" spans="1:14" s="191" customFormat="1" x14ac:dyDescent="0.2">
      <c r="A24" s="198" t="s">
        <v>116</v>
      </c>
      <c r="B24" s="189" t="s">
        <v>161</v>
      </c>
      <c r="C24" s="208" t="s">
        <v>65</v>
      </c>
      <c r="D24" s="208" t="s">
        <v>65</v>
      </c>
      <c r="E24" s="208" t="s">
        <v>65</v>
      </c>
      <c r="F24" s="208" t="s">
        <v>65</v>
      </c>
      <c r="G24" s="208" t="s">
        <v>65</v>
      </c>
      <c r="H24" s="208" t="s">
        <v>65</v>
      </c>
      <c r="I24" s="208" t="s">
        <v>65</v>
      </c>
      <c r="J24" s="190">
        <v>6102.6890997587598</v>
      </c>
      <c r="K24" s="190">
        <v>6542.8918904874163</v>
      </c>
      <c r="L24" s="194">
        <v>7200.279442084834</v>
      </c>
      <c r="M24" s="190">
        <v>8192.6402484902064</v>
      </c>
      <c r="N24" s="190">
        <v>9895.0250477076843</v>
      </c>
    </row>
    <row r="25" spans="1:14" s="14" customFormat="1" x14ac:dyDescent="0.2">
      <c r="A25" s="20" t="s">
        <v>230</v>
      </c>
      <c r="B25" s="56"/>
      <c r="C25" s="86"/>
      <c r="D25" s="57"/>
      <c r="E25" s="57"/>
      <c r="F25" s="57"/>
      <c r="G25" s="57"/>
      <c r="H25" s="57"/>
      <c r="I25" s="57"/>
      <c r="J25" s="57"/>
      <c r="K25" s="57"/>
      <c r="L25" s="57"/>
      <c r="M25" s="22"/>
      <c r="N25" s="22"/>
    </row>
    <row r="26" spans="1:14" s="14" customFormat="1" x14ac:dyDescent="0.2">
      <c r="A26" s="154" t="s">
        <v>33</v>
      </c>
      <c r="B26" s="93" t="s">
        <v>0</v>
      </c>
      <c r="C26" s="209">
        <v>0.69</v>
      </c>
      <c r="D26" s="209">
        <v>0.69</v>
      </c>
      <c r="E26" s="209">
        <v>0.7</v>
      </c>
      <c r="F26" s="209">
        <v>0.7</v>
      </c>
      <c r="G26" s="209">
        <v>0.7</v>
      </c>
      <c r="H26" s="209">
        <v>0.70799999999999996</v>
      </c>
      <c r="I26" s="209">
        <v>0.71</v>
      </c>
      <c r="J26" s="209">
        <v>0.71</v>
      </c>
      <c r="K26" s="210">
        <v>0.70872999519197744</v>
      </c>
      <c r="L26" s="211">
        <v>0.70542688776209406</v>
      </c>
      <c r="M26" s="212">
        <v>0.70321542984456764</v>
      </c>
      <c r="N26" s="212">
        <v>0.70456498784470678</v>
      </c>
    </row>
    <row r="27" spans="1:14" s="14" customFormat="1" x14ac:dyDescent="0.2">
      <c r="A27" s="154" t="s">
        <v>32</v>
      </c>
      <c r="B27" s="93" t="s">
        <v>0</v>
      </c>
      <c r="C27" s="209">
        <v>0.31</v>
      </c>
      <c r="D27" s="209">
        <v>0.31</v>
      </c>
      <c r="E27" s="209">
        <v>0.3</v>
      </c>
      <c r="F27" s="209">
        <v>0.3</v>
      </c>
      <c r="G27" s="209">
        <v>0.3</v>
      </c>
      <c r="H27" s="209">
        <v>0.29199999999999998</v>
      </c>
      <c r="I27" s="209">
        <v>0.28999999999999998</v>
      </c>
      <c r="J27" s="209">
        <v>0.28999999999999998</v>
      </c>
      <c r="K27" s="210">
        <v>0.29127000480802251</v>
      </c>
      <c r="L27" s="211">
        <v>0.294573112237906</v>
      </c>
      <c r="M27" s="212">
        <v>0.29678457015543219</v>
      </c>
      <c r="N27" s="212">
        <v>0.29543501215529305</v>
      </c>
    </row>
    <row r="28" spans="1:14" s="14" customFormat="1" x14ac:dyDescent="0.2">
      <c r="A28" s="20" t="s">
        <v>231</v>
      </c>
      <c r="B28" s="213"/>
      <c r="C28" s="86"/>
      <c r="D28" s="57"/>
      <c r="E28" s="57"/>
      <c r="F28" s="57"/>
      <c r="G28" s="57"/>
      <c r="H28" s="57"/>
      <c r="I28" s="57"/>
      <c r="J28" s="57"/>
      <c r="K28" s="57"/>
      <c r="L28" s="57"/>
      <c r="M28" s="22"/>
      <c r="N28" s="22"/>
    </row>
    <row r="29" spans="1:14" s="14" customFormat="1" x14ac:dyDescent="0.2">
      <c r="A29" s="214" t="s">
        <v>176</v>
      </c>
      <c r="B29" s="215" t="s">
        <v>0</v>
      </c>
      <c r="C29" s="216">
        <v>0.25900000000000001</v>
      </c>
      <c r="D29" s="216">
        <v>0.25900000000000001</v>
      </c>
      <c r="E29" s="216">
        <v>0.27400000000000002</v>
      </c>
      <c r="F29" s="216">
        <v>0.28499999999999998</v>
      </c>
      <c r="G29" s="216">
        <v>0.29699999999999999</v>
      </c>
      <c r="H29" s="216">
        <v>0.31</v>
      </c>
      <c r="I29" s="216">
        <v>0.33</v>
      </c>
      <c r="J29" s="216">
        <v>0.35199999999999998</v>
      </c>
      <c r="K29" s="216">
        <v>0.36487396112370357</v>
      </c>
      <c r="L29" s="216">
        <v>0.36672848409918268</v>
      </c>
      <c r="M29" s="216">
        <v>0.38581203116554386</v>
      </c>
      <c r="N29" s="216">
        <v>0.38957198252589209</v>
      </c>
    </row>
    <row r="30" spans="1:14" s="14" customFormat="1" x14ac:dyDescent="0.2">
      <c r="A30" s="214" t="s">
        <v>177</v>
      </c>
      <c r="B30" s="215" t="s">
        <v>0</v>
      </c>
      <c r="C30" s="216">
        <v>0.20100000000000001</v>
      </c>
      <c r="D30" s="216">
        <v>0.20100000000000001</v>
      </c>
      <c r="E30" s="216">
        <v>0.20100000000000001</v>
      </c>
      <c r="F30" s="216">
        <v>0.20300000000000001</v>
      </c>
      <c r="G30" s="216">
        <v>0.2</v>
      </c>
      <c r="H30" s="216">
        <v>0.19400000000000001</v>
      </c>
      <c r="I30" s="216">
        <v>0.19500000000000001</v>
      </c>
      <c r="J30" s="216">
        <v>0.189</v>
      </c>
      <c r="K30" s="216">
        <v>0.20163472765986676</v>
      </c>
      <c r="L30" s="216">
        <v>0.20163472765986676</v>
      </c>
      <c r="M30" s="216">
        <v>0.21183077795209154</v>
      </c>
      <c r="N30" s="216">
        <v>0.22129779610268493</v>
      </c>
    </row>
    <row r="31" spans="1:14" s="14" customFormat="1" x14ac:dyDescent="0.2">
      <c r="A31" s="214" t="s">
        <v>178</v>
      </c>
      <c r="B31" s="215" t="s">
        <v>0</v>
      </c>
      <c r="C31" s="216">
        <v>0.32600000000000001</v>
      </c>
      <c r="D31" s="216">
        <v>0.32600000000000001</v>
      </c>
      <c r="E31" s="216">
        <v>0.318</v>
      </c>
      <c r="F31" s="216">
        <v>0.308</v>
      </c>
      <c r="G31" s="216">
        <v>0.308</v>
      </c>
      <c r="H31" s="216">
        <v>0.30599999999999999</v>
      </c>
      <c r="I31" s="216">
        <v>0.28999999999999998</v>
      </c>
      <c r="J31" s="216">
        <v>0.28299999999999997</v>
      </c>
      <c r="K31" s="216">
        <v>0.25824575863726906</v>
      </c>
      <c r="L31" s="216">
        <v>0.25824575863726906</v>
      </c>
      <c r="M31" s="216">
        <v>0.23015569588546267</v>
      </c>
      <c r="N31" s="216">
        <v>0.23163009865999115</v>
      </c>
    </row>
    <row r="32" spans="1:14" s="14" customFormat="1" x14ac:dyDescent="0.2">
      <c r="A32" s="198" t="s">
        <v>179</v>
      </c>
      <c r="B32" s="215" t="s">
        <v>0</v>
      </c>
      <c r="C32" s="216">
        <f t="shared" ref="C32:H32" si="0">100%-C29-C30-C31</f>
        <v>0.21400000000000002</v>
      </c>
      <c r="D32" s="216">
        <f t="shared" si="0"/>
        <v>0.21400000000000002</v>
      </c>
      <c r="E32" s="216">
        <f t="shared" si="0"/>
        <v>0.20699999999999991</v>
      </c>
      <c r="F32" s="216">
        <f t="shared" si="0"/>
        <v>0.20400000000000001</v>
      </c>
      <c r="G32" s="216">
        <f t="shared" si="0"/>
        <v>0.19500000000000012</v>
      </c>
      <c r="H32" s="216">
        <f t="shared" si="0"/>
        <v>0.18999999999999995</v>
      </c>
      <c r="I32" s="216">
        <f>0.3%+19.5%</f>
        <v>0.19800000000000001</v>
      </c>
      <c r="J32" s="216">
        <f>0.3%+17.4%</f>
        <v>0.17699999999999999</v>
      </c>
      <c r="K32" s="216">
        <v>0.17524555257916066</v>
      </c>
      <c r="L32" s="216">
        <v>0.17339102960368158</v>
      </c>
      <c r="M32" s="216">
        <v>0.1722014949969019</v>
      </c>
      <c r="N32" s="216">
        <v>0.15750012271143179</v>
      </c>
    </row>
    <row r="33" spans="1:14" s="14" customFormat="1" x14ac:dyDescent="0.2">
      <c r="A33" s="20" t="s">
        <v>232</v>
      </c>
      <c r="B33" s="213"/>
      <c r="C33" s="23"/>
      <c r="D33" s="23"/>
      <c r="E33" s="23"/>
      <c r="F33" s="23"/>
      <c r="G33" s="23"/>
      <c r="H33" s="23"/>
      <c r="I33" s="23"/>
      <c r="J33" s="23"/>
      <c r="K33" s="23"/>
      <c r="L33" s="23"/>
      <c r="M33" s="22"/>
      <c r="N33" s="22"/>
    </row>
    <row r="34" spans="1:14" s="14" customFormat="1" x14ac:dyDescent="0.2">
      <c r="A34" s="214" t="s">
        <v>169</v>
      </c>
      <c r="B34" s="215" t="s">
        <v>0</v>
      </c>
      <c r="C34" s="216">
        <v>0.126</v>
      </c>
      <c r="D34" s="216">
        <v>0.126</v>
      </c>
      <c r="E34" s="216">
        <v>0.13300000000000001</v>
      </c>
      <c r="F34" s="216">
        <v>0.13400000000000001</v>
      </c>
      <c r="G34" s="216">
        <v>0.126</v>
      </c>
      <c r="H34" s="216">
        <v>0.13100000000000001</v>
      </c>
      <c r="I34" s="216">
        <v>0.13900000000000001</v>
      </c>
      <c r="J34" s="216">
        <v>0.14199999999999999</v>
      </c>
      <c r="K34" s="216">
        <v>0.14422406526376758</v>
      </c>
      <c r="L34" s="216">
        <v>0.1496455764260112</v>
      </c>
      <c r="M34" s="216">
        <v>0.15325869545262122</v>
      </c>
      <c r="N34" s="216">
        <v>0.15852123301011378</v>
      </c>
    </row>
    <row r="35" spans="1:14" s="14" customFormat="1" x14ac:dyDescent="0.2">
      <c r="A35" s="217" t="s">
        <v>171</v>
      </c>
      <c r="B35" s="215" t="s">
        <v>0</v>
      </c>
      <c r="C35" s="208" t="s">
        <v>65</v>
      </c>
      <c r="D35" s="208" t="s">
        <v>65</v>
      </c>
      <c r="E35" s="208" t="s">
        <v>65</v>
      </c>
      <c r="F35" s="208" t="s">
        <v>65</v>
      </c>
      <c r="G35" s="208" t="s">
        <v>65</v>
      </c>
      <c r="H35" s="208" t="s">
        <v>65</v>
      </c>
      <c r="I35" s="218">
        <v>3.2814760428194076E-2</v>
      </c>
      <c r="J35" s="218">
        <v>3.5223003309935337E-2</v>
      </c>
      <c r="K35" s="218">
        <v>3.4595307556102406E-2</v>
      </c>
      <c r="L35" s="218">
        <v>3.604231636429292E-2</v>
      </c>
      <c r="M35" s="218">
        <v>3.7064632978982402E-2</v>
      </c>
      <c r="N35" s="218">
        <v>3.9230863217134572E-2</v>
      </c>
    </row>
    <row r="36" spans="1:14" s="14" customFormat="1" x14ac:dyDescent="0.2">
      <c r="A36" s="214" t="s">
        <v>170</v>
      </c>
      <c r="B36" s="215" t="s">
        <v>0</v>
      </c>
      <c r="C36" s="216">
        <v>0.13400000000000001</v>
      </c>
      <c r="D36" s="216">
        <v>0.151</v>
      </c>
      <c r="E36" s="216">
        <v>0.153</v>
      </c>
      <c r="F36" s="216">
        <v>0.158</v>
      </c>
      <c r="G36" s="216">
        <v>0.16800000000000001</v>
      </c>
      <c r="H36" s="216">
        <v>0.16900000000000001</v>
      </c>
      <c r="I36" s="216">
        <v>0.16900000000000001</v>
      </c>
      <c r="J36" s="216">
        <v>0.17299999999999999</v>
      </c>
      <c r="K36" s="216">
        <v>0.18038946104176815</v>
      </c>
      <c r="L36" s="216">
        <v>0.18865475018577121</v>
      </c>
      <c r="M36" s="216">
        <v>0.20027694953802591</v>
      </c>
      <c r="N36" s="216">
        <v>0.20940045683321273</v>
      </c>
    </row>
    <row r="37" spans="1:14" s="14" customFormat="1" x14ac:dyDescent="0.2">
      <c r="A37" s="217" t="s">
        <v>171</v>
      </c>
      <c r="B37" s="215" t="s">
        <v>0</v>
      </c>
      <c r="C37" s="208" t="s">
        <v>65</v>
      </c>
      <c r="D37" s="208" t="s">
        <v>65</v>
      </c>
      <c r="E37" s="208" t="s">
        <v>65</v>
      </c>
      <c r="F37" s="208" t="s">
        <v>65</v>
      </c>
      <c r="G37" s="208" t="s">
        <v>65</v>
      </c>
      <c r="H37" s="208" t="s">
        <v>65</v>
      </c>
      <c r="I37" s="218">
        <v>9.0062191779929524E-2</v>
      </c>
      <c r="J37" s="218">
        <v>9.2238679628658296E-2</v>
      </c>
      <c r="K37" s="218">
        <v>9.5349007779304384E-2</v>
      </c>
      <c r="L37" s="218">
        <v>9.8576034503993076E-2</v>
      </c>
      <c r="M37" s="218">
        <v>0.10667601539120514</v>
      </c>
      <c r="N37" s="218">
        <v>0.11213463684548812</v>
      </c>
    </row>
    <row r="38" spans="1:14" s="14" customFormat="1" x14ac:dyDescent="0.2">
      <c r="A38" s="214" t="s">
        <v>172</v>
      </c>
      <c r="B38" s="215" t="s">
        <v>0</v>
      </c>
      <c r="C38" s="216">
        <v>0.73899999999999999</v>
      </c>
      <c r="D38" s="216">
        <v>0.72299999999999998</v>
      </c>
      <c r="E38" s="216">
        <v>0.71399999999999997</v>
      </c>
      <c r="F38" s="216">
        <v>0.70799999999999996</v>
      </c>
      <c r="G38" s="216">
        <v>0.70599999999999996</v>
      </c>
      <c r="H38" s="216">
        <v>0.7</v>
      </c>
      <c r="I38" s="216">
        <v>0.69199999999999995</v>
      </c>
      <c r="J38" s="216">
        <v>0.68500000000000005</v>
      </c>
      <c r="K38" s="216">
        <v>0.67538798505269615</v>
      </c>
      <c r="L38" s="216">
        <v>0.66169967338821756</v>
      </c>
      <c r="M38" s="216">
        <v>0.64646435500935295</v>
      </c>
      <c r="N38" s="216">
        <v>0.63207831015667348</v>
      </c>
    </row>
    <row r="39" spans="1:14" s="14" customFormat="1" x14ac:dyDescent="0.2">
      <c r="A39" s="217" t="s">
        <v>171</v>
      </c>
      <c r="B39" s="215" t="s">
        <v>0</v>
      </c>
      <c r="C39" s="208" t="s">
        <v>65</v>
      </c>
      <c r="D39" s="208" t="s">
        <v>65</v>
      </c>
      <c r="E39" s="208" t="s">
        <v>65</v>
      </c>
      <c r="F39" s="208" t="s">
        <v>65</v>
      </c>
      <c r="G39" s="208" t="s">
        <v>65</v>
      </c>
      <c r="H39" s="219" t="s">
        <v>1</v>
      </c>
      <c r="I39" s="218">
        <v>0.15128778945890847</v>
      </c>
      <c r="J39" s="218">
        <v>0.14427195490074943</v>
      </c>
      <c r="K39" s="218">
        <v>0.14171061089481121</v>
      </c>
      <c r="L39" s="218">
        <v>0.13891224295269378</v>
      </c>
      <c r="M39" s="218">
        <v>0.13555896416724558</v>
      </c>
      <c r="N39" s="218">
        <v>0.13021743495568264</v>
      </c>
    </row>
    <row r="40" spans="1:14" s="14" customFormat="1" x14ac:dyDescent="0.2">
      <c r="A40" s="20" t="s">
        <v>162</v>
      </c>
      <c r="B40" s="213"/>
      <c r="C40" s="57"/>
      <c r="D40" s="57"/>
      <c r="E40" s="57"/>
      <c r="F40" s="57"/>
      <c r="G40" s="57"/>
      <c r="H40" s="57"/>
      <c r="I40" s="57"/>
      <c r="J40" s="57"/>
      <c r="K40" s="57"/>
      <c r="L40" s="57"/>
      <c r="M40" s="22"/>
      <c r="N40" s="22"/>
    </row>
    <row r="41" spans="1:14" s="14" customFormat="1" ht="15.75" x14ac:dyDescent="0.2">
      <c r="A41" s="74" t="s">
        <v>263</v>
      </c>
      <c r="B41" s="215" t="s">
        <v>0</v>
      </c>
      <c r="C41" s="220">
        <v>9.0999999999999998E-2</v>
      </c>
      <c r="D41" s="220">
        <v>0.11799999999999999</v>
      </c>
      <c r="E41" s="220">
        <v>0.121</v>
      </c>
      <c r="F41" s="220">
        <v>0.113</v>
      </c>
      <c r="G41" s="220">
        <v>0.107</v>
      </c>
      <c r="H41" s="220">
        <v>0.105</v>
      </c>
      <c r="I41" s="220">
        <f>[4]DLA0004!$E$20/100</f>
        <v>0.10325587815027081</v>
      </c>
      <c r="J41" s="221">
        <v>0.10195426873908016</v>
      </c>
      <c r="K41" s="221">
        <v>0.10529383339664047</v>
      </c>
      <c r="L41" s="222">
        <v>9.6740722560278394E-2</v>
      </c>
      <c r="M41" s="222">
        <v>0.122</v>
      </c>
      <c r="N41" s="222">
        <v>0.10464501304231746</v>
      </c>
    </row>
    <row r="42" spans="1:14" s="14" customFormat="1" x14ac:dyDescent="0.2">
      <c r="A42" s="74" t="s">
        <v>163</v>
      </c>
      <c r="B42" s="215" t="s">
        <v>0</v>
      </c>
      <c r="C42" s="208" t="s">
        <v>65</v>
      </c>
      <c r="D42" s="208" t="s">
        <v>65</v>
      </c>
      <c r="E42" s="208" t="s">
        <v>65</v>
      </c>
      <c r="F42" s="208" t="s">
        <v>65</v>
      </c>
      <c r="G42" s="208" t="s">
        <v>65</v>
      </c>
      <c r="H42" s="208" t="s">
        <v>65</v>
      </c>
      <c r="I42" s="222">
        <v>7.6983520726962129E-2</v>
      </c>
      <c r="J42" s="222">
        <v>7.4780700058262359E-2</v>
      </c>
      <c r="K42" s="222">
        <v>8.2290669215156875E-2</v>
      </c>
      <c r="L42" s="222">
        <v>7.8E-2</v>
      </c>
      <c r="M42" s="222">
        <v>0.105</v>
      </c>
      <c r="N42" s="222">
        <v>9.2436428187380418E-2</v>
      </c>
    </row>
    <row r="43" spans="1:14" s="14" customFormat="1" x14ac:dyDescent="0.2">
      <c r="A43" s="20" t="s">
        <v>69</v>
      </c>
      <c r="B43" s="213"/>
      <c r="C43" s="57"/>
      <c r="D43" s="57"/>
      <c r="E43" s="57"/>
      <c r="F43" s="57"/>
      <c r="G43" s="57"/>
      <c r="H43" s="57"/>
      <c r="I43" s="57"/>
      <c r="J43" s="57"/>
      <c r="K43" s="57"/>
      <c r="L43" s="57"/>
      <c r="M43" s="22"/>
      <c r="N43" s="22"/>
    </row>
    <row r="44" spans="1:14" s="30" customFormat="1" x14ac:dyDescent="0.2">
      <c r="A44" s="74" t="s">
        <v>59</v>
      </c>
      <c r="B44" s="223" t="s">
        <v>64</v>
      </c>
      <c r="C44" s="224">
        <v>63</v>
      </c>
      <c r="D44" s="224">
        <v>68.5</v>
      </c>
      <c r="E44" s="224">
        <v>75.3</v>
      </c>
      <c r="F44" s="224">
        <v>75.400000000000006</v>
      </c>
      <c r="G44" s="224">
        <v>84.9</v>
      </c>
      <c r="H44" s="224">
        <v>94.2</v>
      </c>
      <c r="I44" s="224">
        <v>104.1</v>
      </c>
      <c r="J44" s="224">
        <v>111.6</v>
      </c>
      <c r="K44" s="224">
        <v>118.81883761525319</v>
      </c>
      <c r="L44" s="225">
        <v>131.80000000000001</v>
      </c>
      <c r="M44" s="225">
        <v>145.08168060994953</v>
      </c>
      <c r="N44" s="225">
        <v>182.5</v>
      </c>
    </row>
    <row r="45" spans="1:14" s="30" customFormat="1" ht="15.75" x14ac:dyDescent="0.2">
      <c r="A45" s="74" t="s">
        <v>264</v>
      </c>
      <c r="B45" s="223" t="s">
        <v>185</v>
      </c>
      <c r="C45" s="226">
        <f>C44/29.39</f>
        <v>2.1435862538278325</v>
      </c>
      <c r="D45" s="226">
        <f>D44/31.093</f>
        <v>2.2030682147107066</v>
      </c>
      <c r="E45" s="226">
        <f>E44/31.85</f>
        <v>2.3642072213500782</v>
      </c>
      <c r="F45" s="226">
        <f>F44/38.42</f>
        <v>1.9625195210827695</v>
      </c>
      <c r="G45" s="226">
        <f>G44/60.96</f>
        <v>1.3927165354330708</v>
      </c>
      <c r="H45" s="226">
        <f>H44/67.03</f>
        <v>1.4053408921378487</v>
      </c>
      <c r="I45" s="226">
        <f>I44/I73</f>
        <v>1.783973033045487</v>
      </c>
      <c r="J45" s="226">
        <f>J44/J73</f>
        <v>1.7796829102599676</v>
      </c>
      <c r="K45" s="226">
        <f>K44/K73</f>
        <v>1.8354311438615982</v>
      </c>
      <c r="L45" s="226">
        <f>L44/L73</f>
        <v>1.8267498267498268</v>
      </c>
      <c r="M45" s="227">
        <f>M44/M73</f>
        <v>1.9697705981058695</v>
      </c>
      <c r="N45" s="227">
        <f t="shared" ref="N45" si="1">N44/N73</f>
        <v>2.6623136015778401</v>
      </c>
    </row>
    <row r="46" spans="1:14" s="14" customFormat="1" x14ac:dyDescent="0.2">
      <c r="A46" s="20" t="s">
        <v>60</v>
      </c>
      <c r="B46" s="213"/>
      <c r="C46" s="57"/>
      <c r="D46" s="57"/>
      <c r="E46" s="57"/>
      <c r="F46" s="57"/>
      <c r="G46" s="57"/>
      <c r="H46" s="57"/>
      <c r="I46" s="57"/>
      <c r="J46" s="57"/>
      <c r="K46" s="57"/>
      <c r="L46" s="57"/>
      <c r="M46" s="22"/>
      <c r="N46" s="22"/>
    </row>
    <row r="47" spans="1:14" s="14" customFormat="1" x14ac:dyDescent="0.2">
      <c r="A47" s="228" t="s">
        <v>110</v>
      </c>
      <c r="B47" s="215" t="s">
        <v>0</v>
      </c>
      <c r="C47" s="208" t="s">
        <v>65</v>
      </c>
      <c r="D47" s="229">
        <v>0.92</v>
      </c>
      <c r="E47" s="229">
        <v>0.93</v>
      </c>
      <c r="F47" s="229">
        <v>0.94</v>
      </c>
      <c r="G47" s="229">
        <v>0.92</v>
      </c>
      <c r="H47" s="229">
        <v>0.92</v>
      </c>
      <c r="I47" s="230">
        <v>0.8</v>
      </c>
      <c r="J47" s="229">
        <v>0.81</v>
      </c>
      <c r="K47" s="229">
        <v>0.83</v>
      </c>
      <c r="L47" s="229">
        <v>0.93700000000000006</v>
      </c>
      <c r="M47" s="231">
        <v>0.94</v>
      </c>
      <c r="N47" s="231">
        <v>0.94350000000000001</v>
      </c>
    </row>
    <row r="48" spans="1:14" s="14" customFormat="1" x14ac:dyDescent="0.2">
      <c r="A48" s="228" t="s">
        <v>164</v>
      </c>
      <c r="B48" s="215" t="s">
        <v>0</v>
      </c>
      <c r="C48" s="208" t="s">
        <v>65</v>
      </c>
      <c r="D48" s="229">
        <v>0.115</v>
      </c>
      <c r="E48" s="229">
        <v>0.115</v>
      </c>
      <c r="F48" s="229">
        <v>0.115</v>
      </c>
      <c r="G48" s="229">
        <v>0.12</v>
      </c>
      <c r="H48" s="229">
        <v>0.115</v>
      </c>
      <c r="I48" s="230">
        <v>0.107</v>
      </c>
      <c r="J48" s="229">
        <v>0.108</v>
      </c>
      <c r="K48" s="229">
        <v>9.5000000000000001E-2</v>
      </c>
      <c r="L48" s="229">
        <v>8.4000000000000005E-2</v>
      </c>
      <c r="M48" s="231">
        <v>7.5999999999999998E-2</v>
      </c>
      <c r="N48" s="231">
        <v>7.4300000000000005E-2</v>
      </c>
    </row>
    <row r="49" spans="1:14" s="14" customFormat="1" x14ac:dyDescent="0.2">
      <c r="A49" s="228" t="s">
        <v>70</v>
      </c>
      <c r="B49" s="215" t="s">
        <v>0</v>
      </c>
      <c r="C49" s="208" t="s">
        <v>65</v>
      </c>
      <c r="D49" s="229">
        <v>0.84</v>
      </c>
      <c r="E49" s="229">
        <v>0.84</v>
      </c>
      <c r="F49" s="229">
        <v>0.84</v>
      </c>
      <c r="G49" s="229">
        <v>0.81</v>
      </c>
      <c r="H49" s="229">
        <v>0.86</v>
      </c>
      <c r="I49" s="230">
        <v>0.82</v>
      </c>
      <c r="J49" s="229">
        <v>0.78</v>
      </c>
      <c r="K49" s="229">
        <v>0.79</v>
      </c>
      <c r="L49" s="229">
        <v>0.78</v>
      </c>
      <c r="M49" s="231">
        <v>0.77200000000000002</v>
      </c>
      <c r="N49" s="231">
        <v>0.77</v>
      </c>
    </row>
    <row r="50" spans="1:14" s="14" customFormat="1" x14ac:dyDescent="0.2">
      <c r="A50" s="20" t="s">
        <v>58</v>
      </c>
      <c r="B50" s="232"/>
      <c r="C50" s="23"/>
      <c r="D50" s="23"/>
      <c r="E50" s="23"/>
      <c r="F50" s="23"/>
      <c r="G50" s="23"/>
      <c r="H50" s="23"/>
      <c r="I50" s="23"/>
      <c r="J50" s="23"/>
      <c r="K50" s="23"/>
      <c r="L50" s="23"/>
      <c r="M50" s="22"/>
      <c r="N50" s="22"/>
    </row>
    <row r="51" spans="1:14" s="14" customFormat="1" x14ac:dyDescent="0.2">
      <c r="A51" s="154" t="s">
        <v>71</v>
      </c>
      <c r="B51" s="233" t="s">
        <v>12</v>
      </c>
      <c r="C51" s="234">
        <v>42</v>
      </c>
      <c r="D51" s="234">
        <v>48.7</v>
      </c>
      <c r="E51" s="234">
        <v>47.9</v>
      </c>
      <c r="F51" s="234">
        <v>54.1</v>
      </c>
      <c r="G51" s="234">
        <v>63.1</v>
      </c>
      <c r="H51" s="234">
        <v>70</v>
      </c>
      <c r="I51" s="235">
        <v>95</v>
      </c>
      <c r="J51" s="236">
        <v>87.462000000000003</v>
      </c>
      <c r="K51" s="236">
        <v>91</v>
      </c>
      <c r="L51" s="236">
        <v>70.902000000000001</v>
      </c>
      <c r="M51" s="236">
        <v>115</v>
      </c>
      <c r="N51" s="236">
        <v>215</v>
      </c>
    </row>
    <row r="52" spans="1:14" s="14" customFormat="1" ht="15.75" x14ac:dyDescent="0.2">
      <c r="A52" s="154" t="s">
        <v>265</v>
      </c>
      <c r="B52" s="223" t="s">
        <v>8</v>
      </c>
      <c r="C52" s="234">
        <v>12.929567880231371</v>
      </c>
      <c r="D52" s="234">
        <v>19.319460971922943</v>
      </c>
      <c r="E52" s="234">
        <v>19.117739403453687</v>
      </c>
      <c r="F52" s="234">
        <v>17.21759500260281</v>
      </c>
      <c r="G52" s="234">
        <v>10.976049868766404</v>
      </c>
      <c r="H52" s="234">
        <v>11.338206773086677</v>
      </c>
      <c r="I52" s="234">
        <v>15.349845508963565</v>
      </c>
      <c r="J52" s="225">
        <f>1022.21/J73</f>
        <v>16.301161896925105</v>
      </c>
      <c r="K52" s="234">
        <v>17.019291847518215</v>
      </c>
      <c r="L52" s="234">
        <v>17.019291847518215</v>
      </c>
      <c r="M52" s="234">
        <v>12.925281824093975</v>
      </c>
      <c r="N52" s="234">
        <v>19.037365753748389</v>
      </c>
    </row>
    <row r="53" spans="1:14" s="14" customFormat="1" x14ac:dyDescent="0.2">
      <c r="A53" s="20" t="s">
        <v>155</v>
      </c>
      <c r="B53" s="232"/>
      <c r="C53" s="23"/>
      <c r="D53" s="23"/>
      <c r="E53" s="23"/>
      <c r="F53" s="23"/>
      <c r="G53" s="23"/>
      <c r="H53" s="23"/>
      <c r="I53" s="23"/>
      <c r="J53" s="23"/>
      <c r="K53" s="23"/>
      <c r="L53" s="23"/>
      <c r="M53" s="22"/>
      <c r="N53" s="22"/>
    </row>
    <row r="54" spans="1:14" s="14" customFormat="1" ht="15.75" x14ac:dyDescent="0.2">
      <c r="A54" s="154" t="s">
        <v>266</v>
      </c>
      <c r="B54" s="223" t="s">
        <v>8</v>
      </c>
      <c r="C54" s="237">
        <v>51.990472949982987</v>
      </c>
      <c r="D54" s="237">
        <v>48.279189449983917</v>
      </c>
      <c r="E54" s="237">
        <v>46.091051805337514</v>
      </c>
      <c r="F54" s="237">
        <v>41.827173347214988</v>
      </c>
      <c r="G54" s="237">
        <v>27</v>
      </c>
      <c r="H54" s="237">
        <v>30</v>
      </c>
      <c r="I54" s="237">
        <v>33.299999999999997</v>
      </c>
      <c r="J54" s="237">
        <v>31.047619275433039</v>
      </c>
      <c r="K54" s="237">
        <v>29.464964911409698</v>
      </c>
      <c r="L54" s="237">
        <v>10.957726957726956</v>
      </c>
      <c r="M54" s="131">
        <v>28.186709691669847</v>
      </c>
      <c r="N54" s="131">
        <v>36.19875593367702</v>
      </c>
    </row>
    <row r="55" spans="1:14" s="14" customFormat="1" x14ac:dyDescent="0.2">
      <c r="A55" s="74" t="s">
        <v>173</v>
      </c>
      <c r="B55" s="223" t="s">
        <v>8</v>
      </c>
      <c r="C55" s="237">
        <v>35.420210956107518</v>
      </c>
      <c r="D55" s="237">
        <v>37.806497266001927</v>
      </c>
      <c r="E55" s="237">
        <v>35.416012558869703</v>
      </c>
      <c r="F55" s="237">
        <v>22.248646538261323</v>
      </c>
      <c r="G55" s="237">
        <v>14.927821522309712</v>
      </c>
      <c r="H55" s="237">
        <v>15.575115619871699</v>
      </c>
      <c r="I55" s="237">
        <v>17.065155287911999</v>
      </c>
      <c r="J55" s="237">
        <v>15.324820835685514</v>
      </c>
      <c r="K55" s="237">
        <v>14.722313504859832</v>
      </c>
      <c r="L55" s="237">
        <v>13.835657657657658</v>
      </c>
      <c r="M55" s="131">
        <v>13.841591981980637</v>
      </c>
      <c r="N55" s="131">
        <v>17.335743157343462</v>
      </c>
    </row>
    <row r="56" spans="1:14" s="14" customFormat="1" x14ac:dyDescent="0.2">
      <c r="A56" s="154" t="s">
        <v>174</v>
      </c>
      <c r="B56" s="223" t="s">
        <v>8</v>
      </c>
      <c r="C56" s="237">
        <v>32.494045593739365</v>
      </c>
      <c r="D56" s="237">
        <v>69.9260212286909</v>
      </c>
      <c r="E56" s="237">
        <v>49.230769230769226</v>
      </c>
      <c r="F56" s="237">
        <v>39.04216553878188</v>
      </c>
      <c r="G56" s="237">
        <v>28.051181102362204</v>
      </c>
      <c r="H56" s="237">
        <v>34.536774578546918</v>
      </c>
      <c r="I56" s="238">
        <v>94.3</v>
      </c>
      <c r="J56" s="238">
        <v>100</v>
      </c>
      <c r="K56" s="238">
        <v>5.0821642295964242</v>
      </c>
      <c r="L56" s="238">
        <v>11.434511434511434</v>
      </c>
      <c r="M56" s="239">
        <v>14.152626941337955</v>
      </c>
      <c r="N56" s="239">
        <v>15.536241017426848</v>
      </c>
    </row>
    <row r="57" spans="1:14" s="14" customFormat="1" ht="15" thickBot="1" x14ac:dyDescent="0.25">
      <c r="A57" s="78" t="s">
        <v>175</v>
      </c>
      <c r="B57" s="240" t="s">
        <v>8</v>
      </c>
      <c r="C57" s="241">
        <v>84</v>
      </c>
      <c r="D57" s="241">
        <v>110</v>
      </c>
      <c r="E57" s="241">
        <v>120</v>
      </c>
      <c r="F57" s="241">
        <v>93</v>
      </c>
      <c r="G57" s="241">
        <v>71</v>
      </c>
      <c r="H57" s="241">
        <v>88</v>
      </c>
      <c r="I57" s="242">
        <v>102</v>
      </c>
      <c r="J57" s="242">
        <v>104</v>
      </c>
      <c r="K57" s="242">
        <v>98.688570613041847</v>
      </c>
      <c r="L57" s="242">
        <v>92.743977315430485</v>
      </c>
      <c r="M57" s="243">
        <v>122.46958798831294</v>
      </c>
      <c r="N57" s="243">
        <v>153.4733571507555</v>
      </c>
    </row>
    <row r="58" spans="1:14" s="191" customFormat="1" ht="16.5" thickTop="1" x14ac:dyDescent="0.2">
      <c r="A58" s="148" t="s">
        <v>267</v>
      </c>
      <c r="B58" s="244" t="s">
        <v>8</v>
      </c>
      <c r="C58" s="245">
        <f>C54+C55+C56+C57</f>
        <v>203.90472949982987</v>
      </c>
      <c r="D58" s="245">
        <f>D54+D55+D56+D57</f>
        <v>266.01170794467674</v>
      </c>
      <c r="E58" s="245">
        <f>E54+E55+E56+E57</f>
        <v>250.73783359497645</v>
      </c>
      <c r="F58" s="245">
        <v>197</v>
      </c>
      <c r="G58" s="245">
        <f t="shared" ref="G58:M58" si="2">G54+G55+G56+G57</f>
        <v>140.97900262467192</v>
      </c>
      <c r="H58" s="245">
        <f t="shared" si="2"/>
        <v>168.11189019841862</v>
      </c>
      <c r="I58" s="245">
        <f t="shared" si="2"/>
        <v>246.665155287912</v>
      </c>
      <c r="J58" s="245">
        <f t="shared" si="2"/>
        <v>250.37244011111855</v>
      </c>
      <c r="K58" s="245">
        <f t="shared" si="2"/>
        <v>147.95801325890778</v>
      </c>
      <c r="L58" s="245">
        <f t="shared" si="2"/>
        <v>128.97187336532653</v>
      </c>
      <c r="M58" s="245">
        <f t="shared" si="2"/>
        <v>178.65051660330138</v>
      </c>
      <c r="N58" s="246">
        <f>N54+N55+N56+N57</f>
        <v>222.54409725920283</v>
      </c>
    </row>
    <row r="59" spans="1:14" s="14" customFormat="1" x14ac:dyDescent="0.2">
      <c r="A59" s="20" t="s">
        <v>165</v>
      </c>
      <c r="B59" s="21"/>
      <c r="C59" s="22"/>
      <c r="D59" s="22"/>
      <c r="E59" s="22"/>
      <c r="F59" s="22"/>
      <c r="G59" s="22"/>
      <c r="H59" s="22"/>
      <c r="I59" s="22"/>
      <c r="J59" s="22"/>
      <c r="K59" s="22"/>
      <c r="L59" s="22"/>
      <c r="M59" s="22"/>
      <c r="N59" s="22"/>
    </row>
    <row r="60" spans="1:14" s="14" customFormat="1" ht="15.75" x14ac:dyDescent="0.2">
      <c r="A60" s="214" t="s">
        <v>268</v>
      </c>
      <c r="B60" s="88" t="s">
        <v>8</v>
      </c>
      <c r="C60" s="208" t="s">
        <v>65</v>
      </c>
      <c r="D60" s="208" t="s">
        <v>65</v>
      </c>
      <c r="E60" s="208" t="s">
        <v>65</v>
      </c>
      <c r="F60" s="208" t="s">
        <v>65</v>
      </c>
      <c r="G60" s="155" t="s">
        <v>65</v>
      </c>
      <c r="H60" s="237">
        <v>111</v>
      </c>
      <c r="I60" s="237">
        <v>303</v>
      </c>
      <c r="J60" s="237">
        <v>207</v>
      </c>
      <c r="K60" s="237">
        <v>224</v>
      </c>
      <c r="L60" s="237">
        <v>505</v>
      </c>
      <c r="M60" s="239">
        <v>1048</v>
      </c>
      <c r="N60" s="239">
        <v>407</v>
      </c>
    </row>
    <row r="61" spans="1:14" s="14" customFormat="1" x14ac:dyDescent="0.2">
      <c r="A61" s="16" t="s">
        <v>61</v>
      </c>
      <c r="B61" s="17"/>
      <c r="C61" s="175"/>
      <c r="D61" s="175"/>
      <c r="E61" s="175"/>
      <c r="F61" s="175"/>
      <c r="G61" s="175"/>
      <c r="H61" s="175"/>
      <c r="I61" s="175"/>
      <c r="J61" s="175"/>
      <c r="K61" s="175"/>
      <c r="L61" s="175"/>
      <c r="M61" s="247"/>
      <c r="N61" s="247"/>
    </row>
    <row r="62" spans="1:14" s="14" customFormat="1" x14ac:dyDescent="0.2">
      <c r="A62" s="20" t="s">
        <v>166</v>
      </c>
      <c r="B62" s="21"/>
      <c r="C62" s="22"/>
      <c r="D62" s="23"/>
      <c r="E62" s="23"/>
      <c r="F62" s="23"/>
      <c r="G62" s="23"/>
      <c r="H62" s="23"/>
      <c r="I62" s="23"/>
      <c r="J62" s="23"/>
      <c r="K62" s="23"/>
      <c r="L62" s="23"/>
      <c r="M62" s="22"/>
      <c r="N62" s="22"/>
    </row>
    <row r="63" spans="1:14" s="14" customFormat="1" ht="15.75" x14ac:dyDescent="0.2">
      <c r="A63" s="154" t="s">
        <v>269</v>
      </c>
      <c r="B63" s="248" t="s">
        <v>129</v>
      </c>
      <c r="C63" s="207" t="s">
        <v>65</v>
      </c>
      <c r="D63" s="207" t="s">
        <v>65</v>
      </c>
      <c r="E63" s="249">
        <v>0.1</v>
      </c>
      <c r="F63" s="249">
        <v>7.0000000000000007E-2</v>
      </c>
      <c r="G63" s="249">
        <v>0.12</v>
      </c>
      <c r="H63" s="249">
        <v>0.11</v>
      </c>
      <c r="I63" s="249">
        <v>0.08</v>
      </c>
      <c r="J63" s="249">
        <v>0.05</v>
      </c>
      <c r="K63" s="249">
        <v>0.08</v>
      </c>
      <c r="L63" s="249">
        <v>0.08</v>
      </c>
      <c r="M63" s="249">
        <v>0.1</v>
      </c>
      <c r="N63" s="249">
        <v>3.4000000000000002E-2</v>
      </c>
    </row>
    <row r="64" spans="1:14" s="14" customFormat="1" ht="15.75" x14ac:dyDescent="0.2">
      <c r="A64" s="154" t="s">
        <v>270</v>
      </c>
      <c r="B64" s="248" t="s">
        <v>129</v>
      </c>
      <c r="C64" s="207" t="s">
        <v>65</v>
      </c>
      <c r="D64" s="207" t="s">
        <v>65</v>
      </c>
      <c r="E64" s="249">
        <v>0.8</v>
      </c>
      <c r="F64" s="249">
        <v>0.48</v>
      </c>
      <c r="G64" s="249">
        <v>0.62</v>
      </c>
      <c r="H64" s="249">
        <v>0.35</v>
      </c>
      <c r="I64" s="249">
        <v>0.44</v>
      </c>
      <c r="J64" s="249">
        <v>0.23</v>
      </c>
      <c r="K64" s="249">
        <v>0.32</v>
      </c>
      <c r="L64" s="249">
        <v>0.21</v>
      </c>
      <c r="M64" s="249">
        <v>0.38</v>
      </c>
      <c r="N64" s="249">
        <v>0.56699999999999995</v>
      </c>
    </row>
    <row r="65" spans="1:14" s="14" customFormat="1" ht="15.75" x14ac:dyDescent="0.2">
      <c r="A65" s="154" t="s">
        <v>271</v>
      </c>
      <c r="B65" s="189" t="s">
        <v>161</v>
      </c>
      <c r="C65" s="145">
        <f t="shared" ref="C65:H65" si="3">C66+C67</f>
        <v>116</v>
      </c>
      <c r="D65" s="145">
        <f t="shared" si="3"/>
        <v>103</v>
      </c>
      <c r="E65" s="145">
        <f t="shared" si="3"/>
        <v>106</v>
      </c>
      <c r="F65" s="145">
        <f t="shared" si="3"/>
        <v>64</v>
      </c>
      <c r="G65" s="145">
        <f t="shared" si="3"/>
        <v>88</v>
      </c>
      <c r="H65" s="145">
        <f t="shared" si="3"/>
        <v>56</v>
      </c>
      <c r="I65" s="145">
        <f>I66+I67</f>
        <v>61</v>
      </c>
      <c r="J65" s="145">
        <v>32</v>
      </c>
      <c r="K65" s="145">
        <v>44</v>
      </c>
      <c r="L65" s="145">
        <v>31</v>
      </c>
      <c r="M65" s="145">
        <f>M66+M67</f>
        <v>53</v>
      </c>
      <c r="N65" s="145">
        <v>70</v>
      </c>
    </row>
    <row r="66" spans="1:14" s="251" customFormat="1" x14ac:dyDescent="0.2">
      <c r="A66" s="250" t="s">
        <v>180</v>
      </c>
      <c r="B66" s="189" t="s">
        <v>161</v>
      </c>
      <c r="C66" s="144">
        <v>106</v>
      </c>
      <c r="D66" s="144">
        <v>95</v>
      </c>
      <c r="E66" s="144">
        <v>94</v>
      </c>
      <c r="F66" s="144">
        <v>56</v>
      </c>
      <c r="G66" s="144">
        <v>74</v>
      </c>
      <c r="H66" s="144">
        <v>43</v>
      </c>
      <c r="I66" s="144">
        <v>52</v>
      </c>
      <c r="J66" s="144">
        <v>26</v>
      </c>
      <c r="K66" s="144">
        <v>35</v>
      </c>
      <c r="L66" s="145">
        <v>22</v>
      </c>
      <c r="M66" s="144">
        <v>42</v>
      </c>
      <c r="N66" s="144">
        <v>66</v>
      </c>
    </row>
    <row r="67" spans="1:14" s="251" customFormat="1" x14ac:dyDescent="0.2">
      <c r="A67" s="250" t="s">
        <v>181</v>
      </c>
      <c r="B67" s="189" t="s">
        <v>161</v>
      </c>
      <c r="C67" s="144">
        <v>10</v>
      </c>
      <c r="D67" s="144">
        <v>8</v>
      </c>
      <c r="E67" s="144">
        <v>12</v>
      </c>
      <c r="F67" s="144">
        <v>8</v>
      </c>
      <c r="G67" s="252">
        <v>14</v>
      </c>
      <c r="H67" s="252">
        <v>13</v>
      </c>
      <c r="I67" s="252">
        <v>9</v>
      </c>
      <c r="J67" s="252">
        <v>6</v>
      </c>
      <c r="K67" s="252">
        <v>9</v>
      </c>
      <c r="L67" s="252">
        <v>9</v>
      </c>
      <c r="M67" s="252">
        <v>11</v>
      </c>
      <c r="N67" s="252">
        <v>4</v>
      </c>
    </row>
    <row r="68" spans="1:14" s="14" customFormat="1" x14ac:dyDescent="0.2">
      <c r="A68" s="154" t="s">
        <v>184</v>
      </c>
      <c r="B68" s="189" t="s">
        <v>161</v>
      </c>
      <c r="C68" s="207" t="s">
        <v>65</v>
      </c>
      <c r="D68" s="207" t="s">
        <v>65</v>
      </c>
      <c r="E68" s="207" t="s">
        <v>65</v>
      </c>
      <c r="F68" s="253">
        <v>13</v>
      </c>
      <c r="G68" s="253">
        <v>19</v>
      </c>
      <c r="H68" s="77">
        <v>17</v>
      </c>
      <c r="I68" s="253">
        <v>16</v>
      </c>
      <c r="J68" s="77">
        <v>19</v>
      </c>
      <c r="K68" s="77">
        <v>9</v>
      </c>
      <c r="L68" s="77">
        <v>18</v>
      </c>
      <c r="M68" s="77">
        <v>30</v>
      </c>
      <c r="N68" s="77">
        <v>45</v>
      </c>
    </row>
    <row r="69" spans="1:14" s="251" customFormat="1" x14ac:dyDescent="0.2">
      <c r="A69" s="250" t="s">
        <v>181</v>
      </c>
      <c r="B69" s="189" t="s">
        <v>161</v>
      </c>
      <c r="C69" s="254" t="s">
        <v>65</v>
      </c>
      <c r="D69" s="254" t="s">
        <v>65</v>
      </c>
      <c r="E69" s="254" t="s">
        <v>65</v>
      </c>
      <c r="F69" s="143">
        <v>5</v>
      </c>
      <c r="G69" s="143">
        <v>5</v>
      </c>
      <c r="H69" s="255">
        <v>7</v>
      </c>
      <c r="I69" s="143">
        <v>1</v>
      </c>
      <c r="J69" s="143">
        <v>2</v>
      </c>
      <c r="K69" s="143">
        <v>1</v>
      </c>
      <c r="L69" s="255">
        <v>3</v>
      </c>
      <c r="M69" s="143">
        <v>2</v>
      </c>
      <c r="N69" s="143">
        <v>4</v>
      </c>
    </row>
    <row r="70" spans="1:14" ht="15.75" x14ac:dyDescent="0.2">
      <c r="A70" s="20" t="s">
        <v>272</v>
      </c>
      <c r="B70" s="21"/>
      <c r="C70" s="22"/>
      <c r="D70" s="22"/>
      <c r="E70" s="23"/>
      <c r="F70" s="23"/>
      <c r="G70" s="23"/>
      <c r="H70" s="23"/>
      <c r="I70" s="23"/>
      <c r="J70" s="23"/>
      <c r="K70" s="23"/>
      <c r="L70" s="23"/>
      <c r="M70" s="22"/>
      <c r="N70" s="22"/>
    </row>
    <row r="71" spans="1:14" ht="28.5" x14ac:dyDescent="0.2">
      <c r="A71" s="256" t="s">
        <v>151</v>
      </c>
      <c r="B71" s="88" t="s">
        <v>8</v>
      </c>
      <c r="C71" s="145">
        <v>147.77135079959169</v>
      </c>
      <c r="D71" s="145">
        <v>206.56159536828562</v>
      </c>
      <c r="E71" s="145">
        <v>128.57142857142856</v>
      </c>
      <c r="F71" s="145">
        <v>193.80530973451326</v>
      </c>
      <c r="G71" s="145">
        <v>176.31233595800524</v>
      </c>
      <c r="H71" s="145">
        <v>127.03267193793823</v>
      </c>
      <c r="I71" s="145">
        <v>149</v>
      </c>
      <c r="J71" s="145">
        <v>168</v>
      </c>
      <c r="K71" s="145">
        <v>159</v>
      </c>
      <c r="L71" s="145">
        <v>134.77477477477476</v>
      </c>
      <c r="M71" s="145">
        <v>172</v>
      </c>
      <c r="N71" s="145">
        <v>315</v>
      </c>
    </row>
    <row r="72" spans="1:14" s="157" customFormat="1" x14ac:dyDescent="0.2">
      <c r="A72" s="16" t="s">
        <v>120</v>
      </c>
      <c r="B72" s="17"/>
      <c r="C72" s="18"/>
      <c r="D72" s="175"/>
      <c r="E72" s="175"/>
      <c r="F72" s="175"/>
      <c r="G72" s="175"/>
      <c r="H72" s="175"/>
      <c r="I72" s="175"/>
      <c r="J72" s="175"/>
      <c r="K72" s="175"/>
      <c r="L72" s="175"/>
      <c r="M72" s="247"/>
      <c r="N72" s="247"/>
    </row>
    <row r="73" spans="1:14" s="157" customFormat="1" x14ac:dyDescent="0.2">
      <c r="A73" s="158" t="s">
        <v>10</v>
      </c>
      <c r="B73" s="257" t="s">
        <v>7</v>
      </c>
      <c r="C73" s="163">
        <v>29.39</v>
      </c>
      <c r="D73" s="163">
        <v>31.093</v>
      </c>
      <c r="E73" s="163">
        <v>31.847999999999999</v>
      </c>
      <c r="F73" s="163">
        <v>38.421700000000001</v>
      </c>
      <c r="G73" s="163">
        <v>60.957900000000002</v>
      </c>
      <c r="H73" s="163">
        <v>67.034899999999993</v>
      </c>
      <c r="I73" s="163">
        <v>58.352899999999998</v>
      </c>
      <c r="J73" s="163">
        <v>62.707799999999999</v>
      </c>
      <c r="K73" s="163">
        <v>64.736199999999997</v>
      </c>
      <c r="L73" s="163">
        <v>72.150000000000006</v>
      </c>
      <c r="M73" s="162">
        <v>73.6541</v>
      </c>
      <c r="N73" s="258">
        <v>68.549400000000006</v>
      </c>
    </row>
    <row r="74" spans="1:14" x14ac:dyDescent="0.2">
      <c r="A74" s="259"/>
      <c r="B74" s="260"/>
      <c r="C74" s="145"/>
      <c r="D74" s="145"/>
      <c r="E74" s="145"/>
      <c r="F74" s="145"/>
      <c r="G74" s="145"/>
      <c r="H74" s="145"/>
      <c r="I74" s="145"/>
      <c r="J74" s="145"/>
      <c r="K74" s="145"/>
      <c r="L74" s="145"/>
      <c r="M74" s="145"/>
      <c r="N74" s="145"/>
    </row>
    <row r="75" spans="1:14" x14ac:dyDescent="0.2">
      <c r="A75" s="259"/>
      <c r="B75" s="260"/>
      <c r="C75" s="145"/>
      <c r="D75" s="145"/>
      <c r="E75" s="145"/>
      <c r="F75" s="145"/>
      <c r="G75" s="145"/>
      <c r="H75" s="145"/>
      <c r="I75" s="145"/>
      <c r="J75" s="145"/>
      <c r="M75" s="61"/>
    </row>
    <row r="76" spans="1:14" x14ac:dyDescent="0.2">
      <c r="A76" s="175" t="s">
        <v>206</v>
      </c>
      <c r="B76" s="175"/>
      <c r="C76" s="261"/>
      <c r="D76" s="261"/>
      <c r="E76" s="261"/>
      <c r="F76" s="261"/>
      <c r="G76" s="261"/>
      <c r="H76" s="261"/>
      <c r="M76" s="262"/>
    </row>
    <row r="77" spans="1:14" x14ac:dyDescent="0.2">
      <c r="A77" s="263" t="s">
        <v>63</v>
      </c>
      <c r="B77" s="264"/>
      <c r="C77" s="264"/>
      <c r="D77" s="264"/>
      <c r="E77" s="264"/>
      <c r="F77" s="264"/>
      <c r="G77" s="264"/>
      <c r="H77" s="264"/>
      <c r="M77" s="61"/>
    </row>
    <row r="78" spans="1:14" x14ac:dyDescent="0.2">
      <c r="A78" s="263" t="s">
        <v>48</v>
      </c>
      <c r="B78" s="264"/>
      <c r="C78" s="264"/>
      <c r="D78" s="264"/>
      <c r="E78" s="264"/>
      <c r="F78" s="264"/>
      <c r="G78" s="264"/>
      <c r="H78" s="264"/>
      <c r="M78" s="61"/>
    </row>
    <row r="79" spans="1:14" x14ac:dyDescent="0.2">
      <c r="A79" s="263" t="s">
        <v>49</v>
      </c>
      <c r="B79" s="264"/>
      <c r="C79" s="264"/>
      <c r="D79" s="264"/>
      <c r="E79" s="264"/>
      <c r="F79" s="264"/>
      <c r="G79" s="264"/>
      <c r="H79" s="264"/>
      <c r="M79" s="61"/>
    </row>
    <row r="80" spans="1:14" x14ac:dyDescent="0.2">
      <c r="A80" s="263" t="s">
        <v>87</v>
      </c>
      <c r="B80" s="264"/>
      <c r="C80" s="264"/>
      <c r="D80" s="264"/>
      <c r="E80" s="264"/>
      <c r="F80" s="264"/>
      <c r="G80" s="264"/>
      <c r="H80" s="264"/>
      <c r="M80" s="61"/>
    </row>
    <row r="81" spans="1:14" x14ac:dyDescent="0.2">
      <c r="A81" s="263" t="s">
        <v>216</v>
      </c>
      <c r="B81" s="264"/>
      <c r="C81" s="264"/>
      <c r="D81" s="264"/>
      <c r="E81" s="264"/>
      <c r="F81" s="264"/>
      <c r="G81" s="264"/>
      <c r="H81" s="264"/>
    </row>
    <row r="82" spans="1:14" x14ac:dyDescent="0.2">
      <c r="A82" s="263" t="s">
        <v>47</v>
      </c>
      <c r="B82" s="264"/>
      <c r="C82" s="264"/>
      <c r="D82" s="264"/>
      <c r="E82" s="264"/>
      <c r="F82" s="264"/>
      <c r="G82" s="264"/>
      <c r="H82" s="264"/>
    </row>
    <row r="83" spans="1:14" x14ac:dyDescent="0.2">
      <c r="A83" s="263" t="s">
        <v>50</v>
      </c>
      <c r="B83" s="264"/>
      <c r="C83" s="264"/>
      <c r="D83" s="264"/>
      <c r="E83" s="264"/>
      <c r="F83" s="264"/>
      <c r="G83" s="264"/>
      <c r="H83" s="264"/>
    </row>
    <row r="84" spans="1:14" x14ac:dyDescent="0.2">
      <c r="A84" s="263" t="s">
        <v>217</v>
      </c>
      <c r="B84" s="265"/>
      <c r="C84" s="265"/>
      <c r="D84" s="265"/>
      <c r="E84" s="265"/>
      <c r="F84" s="265"/>
      <c r="G84" s="265"/>
      <c r="H84" s="265"/>
    </row>
    <row r="85" spans="1:14" x14ac:dyDescent="0.2">
      <c r="A85" s="263" t="s">
        <v>215</v>
      </c>
      <c r="I85" s="266"/>
      <c r="J85" s="266"/>
      <c r="K85" s="266"/>
      <c r="L85" s="266"/>
    </row>
    <row r="86" spans="1:14" x14ac:dyDescent="0.2">
      <c r="A86" s="267" t="s">
        <v>203</v>
      </c>
      <c r="I86" s="266"/>
      <c r="J86" s="266"/>
      <c r="K86" s="266"/>
      <c r="L86" s="266"/>
    </row>
    <row r="87" spans="1:14" x14ac:dyDescent="0.2">
      <c r="A87" s="267" t="s">
        <v>202</v>
      </c>
      <c r="I87" s="266"/>
      <c r="J87" s="266"/>
      <c r="K87" s="266"/>
      <c r="L87" s="266"/>
    </row>
    <row r="88" spans="1:14" x14ac:dyDescent="0.2">
      <c r="A88" s="267"/>
      <c r="I88" s="266"/>
      <c r="J88" s="266"/>
      <c r="K88" s="266"/>
      <c r="L88" s="266"/>
    </row>
    <row r="89" spans="1:14" x14ac:dyDescent="0.2">
      <c r="A89" s="267"/>
      <c r="I89" s="266"/>
      <c r="J89" s="266"/>
      <c r="K89" s="266"/>
      <c r="L89" s="266"/>
    </row>
    <row r="90" spans="1:14" x14ac:dyDescent="0.2">
      <c r="A90" s="268" t="s">
        <v>31</v>
      </c>
      <c r="H90" s="145"/>
      <c r="I90" s="145"/>
      <c r="J90" s="145"/>
      <c r="K90" s="61"/>
      <c r="L90" s="61"/>
    </row>
    <row r="91" spans="1:14" ht="15.75" x14ac:dyDescent="0.2">
      <c r="A91" s="182" t="s">
        <v>273</v>
      </c>
      <c r="B91" s="182"/>
      <c r="C91" s="61"/>
      <c r="D91" s="61"/>
      <c r="E91" s="61"/>
      <c r="F91" s="61"/>
      <c r="G91" s="61"/>
      <c r="H91" s="145"/>
      <c r="I91" s="145"/>
      <c r="J91" s="145"/>
      <c r="K91" s="262"/>
      <c r="L91" s="262"/>
    </row>
    <row r="92" spans="1:14" ht="15.75" x14ac:dyDescent="0.2">
      <c r="A92" s="186" t="s">
        <v>274</v>
      </c>
      <c r="B92" s="269"/>
      <c r="C92" s="185"/>
      <c r="D92" s="185"/>
      <c r="E92" s="185"/>
      <c r="F92" s="185"/>
      <c r="G92" s="185"/>
      <c r="H92" s="145"/>
      <c r="I92" s="145"/>
      <c r="J92" s="145"/>
      <c r="K92" s="61"/>
      <c r="L92" s="61"/>
      <c r="N92" s="61"/>
    </row>
    <row r="93" spans="1:14" x14ac:dyDescent="0.2">
      <c r="A93" s="270" t="s">
        <v>275</v>
      </c>
      <c r="B93" s="270"/>
      <c r="C93" s="270"/>
      <c r="D93" s="270"/>
      <c r="E93" s="270"/>
      <c r="F93" s="270"/>
      <c r="G93" s="270"/>
      <c r="H93" s="145"/>
      <c r="I93" s="145"/>
      <c r="J93" s="145"/>
      <c r="K93" s="61"/>
      <c r="L93" s="61"/>
      <c r="N93" s="262"/>
    </row>
    <row r="94" spans="1:14" ht="15.75" x14ac:dyDescent="0.2">
      <c r="A94" s="262" t="s">
        <v>276</v>
      </c>
      <c r="B94" s="262"/>
      <c r="C94" s="262"/>
      <c r="D94" s="262"/>
      <c r="E94" s="262"/>
      <c r="F94" s="262"/>
      <c r="G94" s="262"/>
      <c r="H94" s="145"/>
      <c r="I94" s="145"/>
      <c r="J94" s="145"/>
      <c r="K94" s="61"/>
      <c r="L94" s="61"/>
      <c r="N94" s="262"/>
    </row>
    <row r="95" spans="1:14" ht="60.75" customHeight="1" x14ac:dyDescent="0.2">
      <c r="A95" s="271" t="s">
        <v>277</v>
      </c>
      <c r="B95" s="272"/>
      <c r="C95" s="61"/>
      <c r="D95" s="61"/>
      <c r="E95" s="61"/>
      <c r="F95" s="61"/>
      <c r="G95" s="61"/>
      <c r="H95" s="145"/>
      <c r="I95" s="145"/>
      <c r="J95" s="145"/>
      <c r="K95" s="61"/>
      <c r="L95" s="61"/>
      <c r="N95" s="61"/>
    </row>
    <row r="96" spans="1:14" x14ac:dyDescent="0.2">
      <c r="A96" s="273" t="s">
        <v>278</v>
      </c>
      <c r="B96" s="273"/>
      <c r="C96" s="273"/>
      <c r="D96" s="273"/>
      <c r="E96" s="273"/>
      <c r="F96" s="273"/>
      <c r="G96" s="273"/>
      <c r="H96" s="145"/>
      <c r="I96" s="145"/>
      <c r="J96" s="145"/>
      <c r="K96" s="61"/>
      <c r="L96" s="61"/>
      <c r="N96" s="61"/>
    </row>
    <row r="97" spans="14:14" x14ac:dyDescent="0.2">
      <c r="N97" s="61"/>
    </row>
    <row r="98" spans="14:14" x14ac:dyDescent="0.2">
      <c r="N98" s="61"/>
    </row>
    <row r="99" spans="14:14" x14ac:dyDescent="0.2"/>
    <row r="100" spans="14:14" x14ac:dyDescent="0.2"/>
    <row r="101" spans="14:14" x14ac:dyDescent="0.2"/>
    <row r="102" spans="14:14" x14ac:dyDescent="0.2"/>
    <row r="103" spans="14:14" x14ac:dyDescent="0.2"/>
    <row r="104" spans="14:14" x14ac:dyDescent="0.2"/>
    <row r="105" spans="14:14" x14ac:dyDescent="0.2"/>
    <row r="106" spans="14:14" x14ac:dyDescent="0.2"/>
    <row r="107" spans="14:14" x14ac:dyDescent="0.2"/>
    <row r="108" spans="14:14" x14ac:dyDescent="0.2"/>
    <row r="109" spans="14:14" x14ac:dyDescent="0.2"/>
    <row r="110" spans="14:14" x14ac:dyDescent="0.2"/>
    <row r="111" spans="14:14" x14ac:dyDescent="0.2"/>
    <row r="112" spans="14:14"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ht="15" hidden="1" customHeight="1" x14ac:dyDescent="0.2"/>
    <row r="231" ht="15" hidden="1" customHeight="1" x14ac:dyDescent="0.2"/>
    <row r="232" ht="15" hidden="1" customHeight="1"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ht="15" hidden="1" customHeight="1"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sheetData>
  <mergeCells count="40">
    <mergeCell ref="A76:B76"/>
    <mergeCell ref="D28:L28"/>
    <mergeCell ref="A96:G96"/>
    <mergeCell ref="C46:L46"/>
    <mergeCell ref="C43:L43"/>
    <mergeCell ref="C40:L40"/>
    <mergeCell ref="C50:L50"/>
    <mergeCell ref="A95:B95"/>
    <mergeCell ref="A93:G93"/>
    <mergeCell ref="B83:H83"/>
    <mergeCell ref="B82:H82"/>
    <mergeCell ref="B78:H78"/>
    <mergeCell ref="B77:H77"/>
    <mergeCell ref="B79:H79"/>
    <mergeCell ref="B81:H81"/>
    <mergeCell ref="B80:H80"/>
    <mergeCell ref="A1:A2"/>
    <mergeCell ref="F1:F2"/>
    <mergeCell ref="G1:G2"/>
    <mergeCell ref="H1:H2"/>
    <mergeCell ref="I1:I2"/>
    <mergeCell ref="B1:B2"/>
    <mergeCell ref="C1:C2"/>
    <mergeCell ref="D1:D2"/>
    <mergeCell ref="E1:E2"/>
    <mergeCell ref="N1:N2"/>
    <mergeCell ref="M1:M2"/>
    <mergeCell ref="C33:L33"/>
    <mergeCell ref="D72:L72"/>
    <mergeCell ref="C53:L53"/>
    <mergeCell ref="E70:L70"/>
    <mergeCell ref="C61:L61"/>
    <mergeCell ref="D62:L62"/>
    <mergeCell ref="K1:K2"/>
    <mergeCell ref="J1:J2"/>
    <mergeCell ref="D25:L25"/>
    <mergeCell ref="L1:L2"/>
    <mergeCell ref="I3:L3"/>
    <mergeCell ref="C5:L5"/>
    <mergeCell ref="C18:L18"/>
  </mergeCells>
  <hyperlinks>
    <hyperlink ref="A77" r:id="rId1"/>
    <hyperlink ref="A78" r:id="rId2"/>
    <hyperlink ref="A79" r:id="rId3"/>
    <hyperlink ref="A80" r:id="rId4"/>
    <hyperlink ref="A83" r:id="rId5"/>
    <hyperlink ref="A85" r:id="rId6" display="https://www.nornickel.com/upload/iblock/2fb/Policy_of_PJSC_MMC_Norilsk_Nickel_Regarding_Support_for_Small_and_Medium_Enterprises.pdf"/>
    <hyperlink ref="A82" r:id="rId7" display="https://www.nornickel.com/upload/iblock/464/Occupational_health_and_safety_policy_eng.pdf"/>
    <hyperlink ref="A81" r:id="rId8" display="https://www.nornickel.com/upload/iblock/9df/PJSC_MMC_Norilsk_Nickel_Community_Engagement_Policy.pdf"/>
    <hyperlink ref="A84" r:id="rId9" display="https://www.nornickel.com/upload/iblock/db8/PJSC_MMC_Norilsk_Nickel_s_Stakeholder_Engagement_Policy.pdf"/>
    <hyperlink ref="A86" r:id="rId10"/>
    <hyperlink ref="A87" r:id="rId11"/>
    <hyperlink ref="P2" location="MENU!A1" display="Menu"/>
  </hyperlinks>
  <pageMargins left="0.25" right="0.25" top="0.75" bottom="0.75" header="0.3" footer="0.3"/>
  <pageSetup paperSize="9" scale="67"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176C3"/>
  </sheetPr>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176C3"/>
    <pageSetUpPr fitToPage="1"/>
  </sheetPr>
  <dimension ref="A1:P104"/>
  <sheetViews>
    <sheetView showGridLines="0" zoomScale="85" zoomScaleNormal="85" zoomScaleSheetLayoutView="100" workbookViewId="0">
      <pane xSplit="2" ySplit="2" topLeftCell="C39" activePane="bottomRight" state="frozen"/>
      <selection pane="topRight" activeCell="C1" sqref="C1"/>
      <selection pane="bottomLeft" activeCell="A4" sqref="A4"/>
      <selection pane="bottomRight" sqref="A1:XFD1048576"/>
    </sheetView>
  </sheetViews>
  <sheetFormatPr defaultColWidth="9.140625" defaultRowHeight="14.25" x14ac:dyDescent="0.2"/>
  <cols>
    <col min="1" max="1" width="67.140625" style="276" customWidth="1"/>
    <col min="2" max="2" width="15" style="276" customWidth="1"/>
    <col min="3" max="8" width="7.5703125" style="276" bestFit="1" customWidth="1"/>
    <col min="9" max="9" width="8.5703125" style="276" customWidth="1"/>
    <col min="10" max="12" width="7.5703125" style="276" bestFit="1" customWidth="1"/>
    <col min="13" max="13" width="9" style="276" bestFit="1" customWidth="1"/>
    <col min="14" max="14" width="7.7109375" style="276" bestFit="1" customWidth="1"/>
    <col min="15" max="16384" width="9.140625" style="10"/>
  </cols>
  <sheetData>
    <row r="1" spans="1:16" ht="14.45" customHeight="1" x14ac:dyDescent="0.2">
      <c r="A1" s="6" t="s">
        <v>279</v>
      </c>
      <c r="B1" s="7" t="s">
        <v>9</v>
      </c>
      <c r="C1" s="8">
        <v>2011</v>
      </c>
      <c r="D1" s="8">
        <v>2012</v>
      </c>
      <c r="E1" s="8">
        <v>2013</v>
      </c>
      <c r="F1" s="8">
        <v>2014</v>
      </c>
      <c r="G1" s="8">
        <v>2015</v>
      </c>
      <c r="H1" s="8">
        <v>2016</v>
      </c>
      <c r="I1" s="8">
        <v>2017</v>
      </c>
      <c r="J1" s="8">
        <v>2018</v>
      </c>
      <c r="K1" s="8">
        <v>2019</v>
      </c>
      <c r="L1" s="8">
        <v>2020</v>
      </c>
      <c r="M1" s="8">
        <v>2021</v>
      </c>
      <c r="N1" s="8">
        <v>2022</v>
      </c>
    </row>
    <row r="2" spans="1:16" ht="14.45" customHeight="1" x14ac:dyDescent="0.2">
      <c r="A2" s="6"/>
      <c r="B2" s="7"/>
      <c r="C2" s="8"/>
      <c r="D2" s="8"/>
      <c r="E2" s="8"/>
      <c r="F2" s="8"/>
      <c r="G2" s="8"/>
      <c r="H2" s="8"/>
      <c r="I2" s="8"/>
      <c r="J2" s="8"/>
      <c r="K2" s="8"/>
      <c r="L2" s="8"/>
      <c r="M2" s="8"/>
      <c r="N2" s="8"/>
      <c r="P2" s="11" t="s">
        <v>241</v>
      </c>
    </row>
    <row r="3" spans="1:16" ht="6.75" customHeight="1" x14ac:dyDescent="0.2">
      <c r="A3" s="12"/>
      <c r="B3" s="13"/>
      <c r="C3" s="14"/>
      <c r="D3" s="14"/>
      <c r="E3" s="14"/>
      <c r="F3" s="14"/>
      <c r="G3" s="14"/>
      <c r="H3" s="14"/>
      <c r="I3" s="14"/>
      <c r="J3" s="14"/>
      <c r="K3" s="14"/>
      <c r="L3" s="14"/>
      <c r="M3" s="14"/>
      <c r="N3" s="14"/>
    </row>
    <row r="4" spans="1:16" x14ac:dyDescent="0.2">
      <c r="A4" s="16" t="s">
        <v>153</v>
      </c>
      <c r="B4" s="17"/>
      <c r="C4" s="18"/>
      <c r="D4" s="18"/>
      <c r="E4" s="18"/>
      <c r="F4" s="18"/>
      <c r="G4" s="18"/>
      <c r="H4" s="18"/>
      <c r="I4" s="18"/>
      <c r="J4" s="18"/>
      <c r="K4" s="19"/>
      <c r="L4" s="19"/>
      <c r="M4" s="18"/>
      <c r="N4" s="18"/>
    </row>
    <row r="5" spans="1:16" x14ac:dyDescent="0.2">
      <c r="A5" s="274" t="s">
        <v>168</v>
      </c>
      <c r="B5" s="275" t="s">
        <v>167</v>
      </c>
      <c r="C5" s="276">
        <f t="shared" ref="C5:G5" si="0">C6+C8+C10</f>
        <v>13</v>
      </c>
      <c r="D5" s="276">
        <f t="shared" si="0"/>
        <v>13</v>
      </c>
      <c r="E5" s="276">
        <f t="shared" si="0"/>
        <v>13</v>
      </c>
      <c r="F5" s="276">
        <f t="shared" si="0"/>
        <v>13</v>
      </c>
      <c r="G5" s="276">
        <f t="shared" si="0"/>
        <v>13</v>
      </c>
      <c r="H5" s="276">
        <v>13</v>
      </c>
      <c r="I5" s="276">
        <v>13</v>
      </c>
      <c r="J5" s="276">
        <v>13</v>
      </c>
      <c r="K5" s="276">
        <v>13</v>
      </c>
      <c r="L5" s="276">
        <v>13</v>
      </c>
      <c r="M5" s="276">
        <v>13</v>
      </c>
      <c r="N5" s="276">
        <v>13</v>
      </c>
    </row>
    <row r="6" spans="1:16" x14ac:dyDescent="0.2">
      <c r="A6" s="274" t="s">
        <v>13</v>
      </c>
      <c r="B6" s="275" t="s">
        <v>167</v>
      </c>
      <c r="C6" s="276">
        <v>6</v>
      </c>
      <c r="D6" s="276">
        <v>5</v>
      </c>
      <c r="E6" s="276">
        <v>5</v>
      </c>
      <c r="F6" s="276">
        <v>5</v>
      </c>
      <c r="G6" s="276">
        <v>5</v>
      </c>
      <c r="H6" s="276">
        <v>5</v>
      </c>
      <c r="I6" s="276">
        <v>4</v>
      </c>
      <c r="J6" s="276">
        <v>6</v>
      </c>
      <c r="K6" s="276">
        <v>7</v>
      </c>
      <c r="L6" s="276">
        <v>6</v>
      </c>
      <c r="M6" s="276">
        <v>6</v>
      </c>
      <c r="N6" s="276">
        <v>6</v>
      </c>
    </row>
    <row r="7" spans="1:16" x14ac:dyDescent="0.2">
      <c r="A7" s="277" t="s">
        <v>28</v>
      </c>
      <c r="B7" s="278" t="s">
        <v>0</v>
      </c>
      <c r="C7" s="279">
        <f t="shared" ref="C7:G7" si="1">C6/C5</f>
        <v>0.46153846153846156</v>
      </c>
      <c r="D7" s="279">
        <f t="shared" si="1"/>
        <v>0.38461538461538464</v>
      </c>
      <c r="E7" s="279">
        <f t="shared" si="1"/>
        <v>0.38461538461538464</v>
      </c>
      <c r="F7" s="279">
        <f t="shared" si="1"/>
        <v>0.38461538461538464</v>
      </c>
      <c r="G7" s="279">
        <f t="shared" si="1"/>
        <v>0.38461538461538464</v>
      </c>
      <c r="H7" s="279">
        <f t="shared" ref="H7:N7" si="2">H6/H5</f>
        <v>0.38461538461538464</v>
      </c>
      <c r="I7" s="279">
        <f t="shared" si="2"/>
        <v>0.30769230769230771</v>
      </c>
      <c r="J7" s="279">
        <f t="shared" si="2"/>
        <v>0.46153846153846156</v>
      </c>
      <c r="K7" s="279">
        <f t="shared" si="2"/>
        <v>0.53846153846153844</v>
      </c>
      <c r="L7" s="279">
        <f t="shared" si="2"/>
        <v>0.46153846153846156</v>
      </c>
      <c r="M7" s="280">
        <f t="shared" si="2"/>
        <v>0.46153846153846156</v>
      </c>
      <c r="N7" s="279">
        <f t="shared" si="2"/>
        <v>0.46153846153846156</v>
      </c>
    </row>
    <row r="8" spans="1:16" x14ac:dyDescent="0.2">
      <c r="A8" s="274" t="s">
        <v>14</v>
      </c>
      <c r="B8" s="275" t="s">
        <v>167</v>
      </c>
      <c r="C8" s="281">
        <v>6</v>
      </c>
      <c r="D8" s="281">
        <v>7</v>
      </c>
      <c r="E8" s="281">
        <v>7</v>
      </c>
      <c r="F8" s="281">
        <v>7</v>
      </c>
      <c r="G8" s="281">
        <v>6</v>
      </c>
      <c r="H8" s="281">
        <v>6</v>
      </c>
      <c r="I8" s="281">
        <v>6</v>
      </c>
      <c r="J8" s="281">
        <v>4</v>
      </c>
      <c r="K8" s="281">
        <v>3</v>
      </c>
      <c r="L8" s="281">
        <v>5</v>
      </c>
      <c r="M8" s="281">
        <v>6</v>
      </c>
      <c r="N8" s="281">
        <v>6</v>
      </c>
    </row>
    <row r="9" spans="1:16" s="61" customFormat="1" x14ac:dyDescent="0.2">
      <c r="A9" s="277" t="s">
        <v>24</v>
      </c>
      <c r="B9" s="278" t="s">
        <v>0</v>
      </c>
      <c r="C9" s="279">
        <f t="shared" ref="C9:H9" si="3">C8/C5</f>
        <v>0.46153846153846156</v>
      </c>
      <c r="D9" s="279">
        <f t="shared" si="3"/>
        <v>0.53846153846153844</v>
      </c>
      <c r="E9" s="279">
        <f t="shared" si="3"/>
        <v>0.53846153846153844</v>
      </c>
      <c r="F9" s="279">
        <f t="shared" si="3"/>
        <v>0.53846153846153844</v>
      </c>
      <c r="G9" s="279">
        <f t="shared" si="3"/>
        <v>0.46153846153846156</v>
      </c>
      <c r="H9" s="279">
        <f t="shared" si="3"/>
        <v>0.46153846153846156</v>
      </c>
      <c r="I9" s="279">
        <f>I8/I5</f>
        <v>0.46153846153846156</v>
      </c>
      <c r="J9" s="279">
        <f>J8/J5</f>
        <v>0.30769230769230771</v>
      </c>
      <c r="K9" s="279">
        <f>K8/K5</f>
        <v>0.23076923076923078</v>
      </c>
      <c r="L9" s="279">
        <f>L8/L5</f>
        <v>0.38461538461538464</v>
      </c>
      <c r="M9" s="280">
        <f>M8/M5</f>
        <v>0.46153846153846156</v>
      </c>
      <c r="N9" s="279">
        <f t="shared" ref="N9" si="4">N8/N5</f>
        <v>0.46153846153846156</v>
      </c>
    </row>
    <row r="10" spans="1:16" x14ac:dyDescent="0.2">
      <c r="A10" s="274" t="s">
        <v>240</v>
      </c>
      <c r="B10" s="275" t="s">
        <v>167</v>
      </c>
      <c r="C10" s="276">
        <v>1</v>
      </c>
      <c r="D10" s="276">
        <v>1</v>
      </c>
      <c r="E10" s="276">
        <v>1</v>
      </c>
      <c r="F10" s="276">
        <v>1</v>
      </c>
      <c r="G10" s="276">
        <v>2</v>
      </c>
      <c r="H10" s="276">
        <v>2</v>
      </c>
      <c r="I10" s="276">
        <v>2</v>
      </c>
      <c r="J10" s="281">
        <v>3</v>
      </c>
      <c r="K10" s="281">
        <v>3</v>
      </c>
      <c r="L10" s="281">
        <v>2</v>
      </c>
      <c r="M10" s="281">
        <v>1</v>
      </c>
      <c r="N10" s="276">
        <v>1</v>
      </c>
    </row>
    <row r="11" spans="1:16" s="61" customFormat="1" x14ac:dyDescent="0.2">
      <c r="A11" s="277" t="s">
        <v>29</v>
      </c>
      <c r="B11" s="278" t="s">
        <v>0</v>
      </c>
      <c r="C11" s="279">
        <f t="shared" ref="C11:H11" si="5">C10/C5</f>
        <v>7.6923076923076927E-2</v>
      </c>
      <c r="D11" s="279">
        <f t="shared" si="5"/>
        <v>7.6923076923076927E-2</v>
      </c>
      <c r="E11" s="279">
        <f t="shared" si="5"/>
        <v>7.6923076923076927E-2</v>
      </c>
      <c r="F11" s="279">
        <f t="shared" si="5"/>
        <v>7.6923076923076927E-2</v>
      </c>
      <c r="G11" s="279">
        <f t="shared" si="5"/>
        <v>0.15384615384615385</v>
      </c>
      <c r="H11" s="279">
        <f t="shared" si="5"/>
        <v>0.15384615384615385</v>
      </c>
      <c r="I11" s="279">
        <f>I10/I5</f>
        <v>0.15384615384615385</v>
      </c>
      <c r="J11" s="279">
        <f>J10/J5</f>
        <v>0.23076923076923078</v>
      </c>
      <c r="K11" s="279">
        <f>K10/K5</f>
        <v>0.23076923076923078</v>
      </c>
      <c r="L11" s="279">
        <f>L10/L5</f>
        <v>0.15384615384615385</v>
      </c>
      <c r="M11" s="280">
        <f>M10/M5</f>
        <v>7.6923076923076927E-2</v>
      </c>
      <c r="N11" s="279">
        <f t="shared" ref="N11" si="6">N10/N5</f>
        <v>7.6923076923076927E-2</v>
      </c>
    </row>
    <row r="12" spans="1:16" x14ac:dyDescent="0.2">
      <c r="A12" s="274" t="s">
        <v>32</v>
      </c>
      <c r="B12" s="275" t="s">
        <v>167</v>
      </c>
      <c r="C12" s="276">
        <v>2</v>
      </c>
      <c r="D12" s="276">
        <v>2</v>
      </c>
      <c r="E12" s="276">
        <v>1</v>
      </c>
      <c r="F12" s="276">
        <v>1</v>
      </c>
      <c r="G12" s="276">
        <v>1</v>
      </c>
      <c r="H12" s="276">
        <v>1</v>
      </c>
      <c r="I12" s="276">
        <v>1</v>
      </c>
      <c r="J12" s="276">
        <v>1</v>
      </c>
      <c r="K12" s="276">
        <v>1</v>
      </c>
      <c r="L12" s="276">
        <v>1</v>
      </c>
      <c r="M12" s="276">
        <v>1</v>
      </c>
      <c r="N12" s="276">
        <v>3</v>
      </c>
    </row>
    <row r="13" spans="1:16" x14ac:dyDescent="0.2">
      <c r="A13" s="274" t="s">
        <v>73</v>
      </c>
      <c r="B13" s="282" t="s">
        <v>72</v>
      </c>
      <c r="C13" s="276">
        <v>64</v>
      </c>
      <c r="D13" s="276">
        <v>62</v>
      </c>
      <c r="E13" s="276">
        <v>64</v>
      </c>
      <c r="F13" s="276">
        <v>42</v>
      </c>
      <c r="G13" s="276">
        <v>47</v>
      </c>
      <c r="H13" s="276">
        <v>50</v>
      </c>
      <c r="I13" s="276">
        <v>42</v>
      </c>
      <c r="J13" s="276">
        <v>45</v>
      </c>
      <c r="K13" s="276">
        <v>34</v>
      </c>
      <c r="L13" s="283">
        <v>37</v>
      </c>
      <c r="M13" s="283">
        <v>33</v>
      </c>
      <c r="N13" s="276">
        <v>38</v>
      </c>
    </row>
    <row r="14" spans="1:16" x14ac:dyDescent="0.2">
      <c r="A14" s="284" t="s">
        <v>25</v>
      </c>
      <c r="B14" s="282" t="s">
        <v>72</v>
      </c>
      <c r="C14" s="283">
        <f>64-53</f>
        <v>11</v>
      </c>
      <c r="D14" s="283">
        <f>62-53</f>
        <v>9</v>
      </c>
      <c r="E14" s="283">
        <v>13</v>
      </c>
      <c r="F14" s="283">
        <f>8</f>
        <v>8</v>
      </c>
      <c r="G14" s="283">
        <f>9</f>
        <v>9</v>
      </c>
      <c r="H14" s="283">
        <v>7</v>
      </c>
      <c r="I14" s="283">
        <v>7</v>
      </c>
      <c r="J14" s="283">
        <v>13</v>
      </c>
      <c r="K14" s="283">
        <v>10</v>
      </c>
      <c r="L14" s="283">
        <v>10</v>
      </c>
      <c r="M14" s="283">
        <v>10</v>
      </c>
      <c r="N14" s="283">
        <v>9</v>
      </c>
    </row>
    <row r="15" spans="1:16" x14ac:dyDescent="0.2">
      <c r="A15" s="20" t="s">
        <v>15</v>
      </c>
      <c r="B15" s="21"/>
      <c r="C15" s="22"/>
      <c r="D15" s="22"/>
      <c r="E15" s="22"/>
      <c r="F15" s="22"/>
      <c r="G15" s="22"/>
      <c r="H15" s="22"/>
      <c r="I15" s="22"/>
      <c r="J15" s="22"/>
      <c r="K15" s="22"/>
      <c r="L15" s="22"/>
      <c r="M15" s="22"/>
      <c r="N15" s="22"/>
    </row>
    <row r="16" spans="1:16" x14ac:dyDescent="0.2">
      <c r="A16" s="274" t="s">
        <v>102</v>
      </c>
      <c r="B16" s="275" t="s">
        <v>167</v>
      </c>
      <c r="C16" s="285">
        <v>8</v>
      </c>
      <c r="D16" s="285">
        <v>7</v>
      </c>
      <c r="E16" s="285">
        <v>9</v>
      </c>
      <c r="F16" s="285">
        <v>8</v>
      </c>
      <c r="G16" s="285">
        <v>6</v>
      </c>
      <c r="H16" s="285">
        <v>2</v>
      </c>
      <c r="I16" s="285">
        <v>2</v>
      </c>
      <c r="J16" s="285">
        <v>3</v>
      </c>
      <c r="K16" s="285">
        <v>5</v>
      </c>
      <c r="L16" s="285">
        <v>6</v>
      </c>
      <c r="M16" s="285">
        <v>2</v>
      </c>
      <c r="N16" s="285">
        <v>7</v>
      </c>
    </row>
    <row r="17" spans="1:14" x14ac:dyDescent="0.2">
      <c r="A17" s="286" t="s">
        <v>103</v>
      </c>
      <c r="B17" s="275" t="s">
        <v>167</v>
      </c>
      <c r="C17" s="285">
        <v>4</v>
      </c>
      <c r="D17" s="285">
        <v>5</v>
      </c>
      <c r="E17" s="285">
        <v>3</v>
      </c>
      <c r="F17" s="285">
        <v>2</v>
      </c>
      <c r="G17" s="285">
        <v>5</v>
      </c>
      <c r="H17" s="285">
        <v>7</v>
      </c>
      <c r="I17" s="285">
        <v>6</v>
      </c>
      <c r="J17" s="285">
        <v>4</v>
      </c>
      <c r="K17" s="285">
        <v>0</v>
      </c>
      <c r="L17" s="285">
        <v>1</v>
      </c>
      <c r="M17" s="285">
        <v>5</v>
      </c>
      <c r="N17" s="285">
        <v>3</v>
      </c>
    </row>
    <row r="18" spans="1:14" x14ac:dyDescent="0.2">
      <c r="A18" s="286" t="s">
        <v>104</v>
      </c>
      <c r="B18" s="275" t="s">
        <v>167</v>
      </c>
      <c r="C18" s="285">
        <v>1</v>
      </c>
      <c r="D18" s="285">
        <v>1</v>
      </c>
      <c r="E18" s="285">
        <v>1</v>
      </c>
      <c r="F18" s="285">
        <v>2</v>
      </c>
      <c r="G18" s="285">
        <v>3</v>
      </c>
      <c r="H18" s="285">
        <v>4</v>
      </c>
      <c r="I18" s="285">
        <v>5</v>
      </c>
      <c r="J18" s="285">
        <v>6</v>
      </c>
      <c r="K18" s="285">
        <v>8</v>
      </c>
      <c r="L18" s="285">
        <v>6</v>
      </c>
      <c r="M18" s="285">
        <v>6</v>
      </c>
      <c r="N18" s="285">
        <v>3</v>
      </c>
    </row>
    <row r="19" spans="1:14" x14ac:dyDescent="0.2">
      <c r="A19" s="20" t="s">
        <v>26</v>
      </c>
      <c r="B19" s="21"/>
      <c r="C19" s="22"/>
      <c r="D19" s="22"/>
      <c r="E19" s="22"/>
      <c r="F19" s="22"/>
      <c r="G19" s="22"/>
      <c r="H19" s="22"/>
      <c r="I19" s="22"/>
      <c r="J19" s="22"/>
      <c r="K19" s="22"/>
      <c r="L19" s="22"/>
      <c r="M19" s="22"/>
      <c r="N19" s="22"/>
    </row>
    <row r="20" spans="1:14" x14ac:dyDescent="0.2">
      <c r="A20" s="286" t="s">
        <v>18</v>
      </c>
      <c r="B20" s="275" t="s">
        <v>167</v>
      </c>
      <c r="C20" s="285">
        <v>2</v>
      </c>
      <c r="D20" s="285">
        <v>2</v>
      </c>
      <c r="E20" s="285">
        <v>3</v>
      </c>
      <c r="F20" s="285">
        <v>4</v>
      </c>
      <c r="G20" s="285">
        <v>4</v>
      </c>
      <c r="H20" s="285">
        <v>3</v>
      </c>
      <c r="I20" s="285">
        <v>1</v>
      </c>
      <c r="J20" s="281">
        <v>3</v>
      </c>
      <c r="K20" s="281">
        <v>0</v>
      </c>
      <c r="L20" s="285">
        <v>0</v>
      </c>
      <c r="M20" s="285">
        <v>0</v>
      </c>
      <c r="N20" s="285">
        <v>1</v>
      </c>
    </row>
    <row r="21" spans="1:14" x14ac:dyDescent="0.2">
      <c r="A21" s="286" t="s">
        <v>17</v>
      </c>
      <c r="B21" s="275" t="s">
        <v>167</v>
      </c>
      <c r="C21" s="285">
        <v>11</v>
      </c>
      <c r="D21" s="285">
        <v>10</v>
      </c>
      <c r="E21" s="285">
        <v>8</v>
      </c>
      <c r="F21" s="285">
        <v>8</v>
      </c>
      <c r="G21" s="285">
        <v>8</v>
      </c>
      <c r="H21" s="285">
        <v>9</v>
      </c>
      <c r="I21" s="285">
        <v>11</v>
      </c>
      <c r="J21" s="281">
        <v>9</v>
      </c>
      <c r="K21" s="281">
        <v>10</v>
      </c>
      <c r="L21" s="285">
        <v>10</v>
      </c>
      <c r="M21" s="285">
        <v>11</v>
      </c>
      <c r="N21" s="285">
        <v>11</v>
      </c>
    </row>
    <row r="22" spans="1:14" x14ac:dyDescent="0.2">
      <c r="A22" s="286" t="s">
        <v>16</v>
      </c>
      <c r="B22" s="275" t="s">
        <v>167</v>
      </c>
      <c r="C22" s="285">
        <v>0</v>
      </c>
      <c r="D22" s="285">
        <v>1</v>
      </c>
      <c r="E22" s="285">
        <v>2</v>
      </c>
      <c r="F22" s="285">
        <v>1</v>
      </c>
      <c r="G22" s="285">
        <v>1</v>
      </c>
      <c r="H22" s="285">
        <v>1</v>
      </c>
      <c r="I22" s="285">
        <v>1</v>
      </c>
      <c r="J22" s="281">
        <v>1</v>
      </c>
      <c r="K22" s="281">
        <v>3</v>
      </c>
      <c r="L22" s="285">
        <v>3</v>
      </c>
      <c r="M22" s="285">
        <v>2</v>
      </c>
      <c r="N22" s="285">
        <v>2</v>
      </c>
    </row>
    <row r="23" spans="1:14" x14ac:dyDescent="0.2">
      <c r="A23" s="20" t="s">
        <v>19</v>
      </c>
      <c r="B23" s="21"/>
      <c r="C23" s="22"/>
      <c r="D23" s="22"/>
      <c r="E23" s="22"/>
      <c r="F23" s="22"/>
      <c r="G23" s="22"/>
      <c r="H23" s="22"/>
      <c r="I23" s="22"/>
      <c r="J23" s="22"/>
      <c r="K23" s="22"/>
      <c r="L23" s="22"/>
      <c r="M23" s="22"/>
      <c r="N23" s="22"/>
    </row>
    <row r="24" spans="1:14" x14ac:dyDescent="0.2">
      <c r="A24" s="286" t="s">
        <v>105</v>
      </c>
      <c r="B24" s="275" t="s">
        <v>167</v>
      </c>
      <c r="C24" s="287">
        <v>4</v>
      </c>
      <c r="D24" s="287">
        <v>4</v>
      </c>
      <c r="E24" s="287">
        <v>4</v>
      </c>
      <c r="F24" s="287">
        <v>5</v>
      </c>
      <c r="G24" s="287">
        <v>5</v>
      </c>
      <c r="H24" s="281">
        <v>5</v>
      </c>
      <c r="I24" s="281">
        <v>6</v>
      </c>
      <c r="J24" s="281">
        <v>5</v>
      </c>
      <c r="K24" s="281">
        <v>5</v>
      </c>
      <c r="L24" s="281">
        <v>5</v>
      </c>
      <c r="M24" s="281">
        <v>6</v>
      </c>
      <c r="N24" s="281">
        <v>6</v>
      </c>
    </row>
    <row r="25" spans="1:14" x14ac:dyDescent="0.2">
      <c r="A25" s="286" t="s">
        <v>106</v>
      </c>
      <c r="B25" s="275" t="s">
        <v>167</v>
      </c>
      <c r="C25" s="287">
        <v>7</v>
      </c>
      <c r="D25" s="287">
        <v>8</v>
      </c>
      <c r="E25" s="287">
        <v>8</v>
      </c>
      <c r="F25" s="287">
        <v>8</v>
      </c>
      <c r="G25" s="287">
        <v>8</v>
      </c>
      <c r="H25" s="281">
        <v>8</v>
      </c>
      <c r="I25" s="281">
        <v>9</v>
      </c>
      <c r="J25" s="281">
        <v>9</v>
      </c>
      <c r="K25" s="281">
        <v>6</v>
      </c>
      <c r="L25" s="281">
        <v>6</v>
      </c>
      <c r="M25" s="281">
        <v>5</v>
      </c>
      <c r="N25" s="281">
        <v>9</v>
      </c>
    </row>
    <row r="26" spans="1:14" x14ac:dyDescent="0.2">
      <c r="A26" s="286" t="s">
        <v>107</v>
      </c>
      <c r="B26" s="275" t="s">
        <v>167</v>
      </c>
      <c r="C26" s="287">
        <v>13</v>
      </c>
      <c r="D26" s="287">
        <v>11</v>
      </c>
      <c r="E26" s="287">
        <v>11</v>
      </c>
      <c r="F26" s="287">
        <v>10</v>
      </c>
      <c r="G26" s="287">
        <v>10</v>
      </c>
      <c r="H26" s="281">
        <v>9</v>
      </c>
      <c r="I26" s="281">
        <v>6</v>
      </c>
      <c r="J26" s="281">
        <v>7</v>
      </c>
      <c r="K26" s="281">
        <v>8</v>
      </c>
      <c r="L26" s="281">
        <v>8</v>
      </c>
      <c r="M26" s="281">
        <v>8</v>
      </c>
      <c r="N26" s="281">
        <v>8</v>
      </c>
    </row>
    <row r="27" spans="1:14" x14ac:dyDescent="0.2">
      <c r="A27" s="286" t="s">
        <v>108</v>
      </c>
      <c r="B27" s="275" t="s">
        <v>167</v>
      </c>
      <c r="C27" s="287">
        <v>8</v>
      </c>
      <c r="D27" s="287">
        <v>9</v>
      </c>
      <c r="E27" s="287">
        <v>9</v>
      </c>
      <c r="F27" s="287">
        <v>9</v>
      </c>
      <c r="G27" s="287">
        <v>9</v>
      </c>
      <c r="H27" s="281">
        <v>10</v>
      </c>
      <c r="I27" s="281">
        <v>10</v>
      </c>
      <c r="J27" s="281">
        <v>9</v>
      </c>
      <c r="K27" s="281">
        <v>8</v>
      </c>
      <c r="L27" s="281">
        <v>8</v>
      </c>
      <c r="M27" s="281">
        <v>7</v>
      </c>
      <c r="N27" s="281">
        <v>7</v>
      </c>
    </row>
    <row r="28" spans="1:14" x14ac:dyDescent="0.2">
      <c r="A28" s="286" t="s">
        <v>109</v>
      </c>
      <c r="B28" s="275" t="s">
        <v>167</v>
      </c>
      <c r="C28" s="287">
        <v>3</v>
      </c>
      <c r="D28" s="287">
        <v>4</v>
      </c>
      <c r="E28" s="287">
        <v>5</v>
      </c>
      <c r="F28" s="287">
        <v>6</v>
      </c>
      <c r="G28" s="287">
        <v>5</v>
      </c>
      <c r="H28" s="281">
        <v>5</v>
      </c>
      <c r="I28" s="281">
        <v>6</v>
      </c>
      <c r="J28" s="281">
        <v>5</v>
      </c>
      <c r="K28" s="281">
        <v>5</v>
      </c>
      <c r="L28" s="281">
        <v>5</v>
      </c>
      <c r="M28" s="281">
        <v>4</v>
      </c>
      <c r="N28" s="281">
        <v>3</v>
      </c>
    </row>
    <row r="29" spans="1:14" x14ac:dyDescent="0.2">
      <c r="A29" s="286" t="s">
        <v>182</v>
      </c>
      <c r="B29" s="275" t="s">
        <v>167</v>
      </c>
      <c r="C29" s="207" t="s">
        <v>65</v>
      </c>
      <c r="D29" s="207" t="s">
        <v>65</v>
      </c>
      <c r="E29" s="207" t="s">
        <v>65</v>
      </c>
      <c r="F29" s="207" t="s">
        <v>65</v>
      </c>
      <c r="G29" s="207" t="s">
        <v>65</v>
      </c>
      <c r="H29" s="207" t="s">
        <v>65</v>
      </c>
      <c r="I29" s="207" t="s">
        <v>65</v>
      </c>
      <c r="J29" s="207" t="s">
        <v>65</v>
      </c>
      <c r="K29" s="281">
        <v>2</v>
      </c>
      <c r="L29" s="281">
        <v>2</v>
      </c>
      <c r="M29" s="281">
        <v>5</v>
      </c>
      <c r="N29" s="281">
        <v>6</v>
      </c>
    </row>
    <row r="30" spans="1:14" x14ac:dyDescent="0.2">
      <c r="A30" s="16" t="s">
        <v>280</v>
      </c>
      <c r="B30" s="17"/>
      <c r="C30" s="18"/>
      <c r="D30" s="18"/>
      <c r="E30" s="18"/>
      <c r="F30" s="18"/>
      <c r="G30" s="18"/>
      <c r="H30" s="18"/>
      <c r="I30" s="18"/>
      <c r="J30" s="19"/>
      <c r="K30" s="19"/>
      <c r="L30" s="19"/>
      <c r="M30" s="18"/>
      <c r="N30" s="18"/>
    </row>
    <row r="31" spans="1:14" x14ac:dyDescent="0.2">
      <c r="A31" s="20" t="s">
        <v>21</v>
      </c>
      <c r="B31" s="21"/>
      <c r="C31" s="22"/>
      <c r="D31" s="288"/>
      <c r="E31" s="22"/>
      <c r="F31" s="22"/>
      <c r="G31" s="22"/>
      <c r="H31" s="22"/>
      <c r="I31" s="22"/>
      <c r="J31" s="22"/>
      <c r="K31" s="22"/>
      <c r="L31" s="22"/>
      <c r="M31" s="22"/>
      <c r="N31" s="22"/>
    </row>
    <row r="32" spans="1:14" x14ac:dyDescent="0.2">
      <c r="A32" s="274" t="s">
        <v>27</v>
      </c>
      <c r="B32" s="275" t="s">
        <v>167</v>
      </c>
      <c r="C32" s="289">
        <v>4</v>
      </c>
      <c r="D32" s="289">
        <v>4</v>
      </c>
      <c r="E32" s="289">
        <v>4</v>
      </c>
      <c r="F32" s="289">
        <v>5</v>
      </c>
      <c r="G32" s="290">
        <v>5</v>
      </c>
      <c r="H32" s="285">
        <v>5</v>
      </c>
      <c r="I32" s="285">
        <v>5</v>
      </c>
      <c r="J32" s="285">
        <v>5</v>
      </c>
      <c r="K32" s="285">
        <v>5</v>
      </c>
      <c r="L32" s="285">
        <v>5</v>
      </c>
      <c r="M32" s="285">
        <v>5</v>
      </c>
      <c r="N32" s="285">
        <v>5</v>
      </c>
    </row>
    <row r="33" spans="1:14" s="61" customFormat="1" x14ac:dyDescent="0.2">
      <c r="A33" s="277" t="s">
        <v>183</v>
      </c>
      <c r="B33" s="278" t="s">
        <v>167</v>
      </c>
      <c r="C33" s="291">
        <v>2</v>
      </c>
      <c r="D33" s="291">
        <v>2</v>
      </c>
      <c r="E33" s="291">
        <v>2</v>
      </c>
      <c r="F33" s="291">
        <v>3</v>
      </c>
      <c r="G33" s="291">
        <v>3</v>
      </c>
      <c r="H33" s="283">
        <v>3</v>
      </c>
      <c r="I33" s="283">
        <v>3</v>
      </c>
      <c r="J33" s="283">
        <v>3</v>
      </c>
      <c r="K33" s="283">
        <v>4</v>
      </c>
      <c r="L33" s="283">
        <v>2</v>
      </c>
      <c r="M33" s="285">
        <v>2</v>
      </c>
      <c r="N33" s="285">
        <v>2</v>
      </c>
    </row>
    <row r="34" spans="1:14" x14ac:dyDescent="0.2">
      <c r="A34" s="274" t="s">
        <v>23</v>
      </c>
      <c r="B34" s="292" t="s">
        <v>0</v>
      </c>
      <c r="C34" s="293">
        <f t="shared" ref="C34:H34" si="7">C33/C32</f>
        <v>0.5</v>
      </c>
      <c r="D34" s="293">
        <f t="shared" si="7"/>
        <v>0.5</v>
      </c>
      <c r="E34" s="293">
        <f t="shared" si="7"/>
        <v>0.5</v>
      </c>
      <c r="F34" s="293">
        <f t="shared" si="7"/>
        <v>0.6</v>
      </c>
      <c r="G34" s="294">
        <f t="shared" si="7"/>
        <v>0.6</v>
      </c>
      <c r="H34" s="294">
        <f t="shared" si="7"/>
        <v>0.6</v>
      </c>
      <c r="I34" s="294">
        <f>I33/I32</f>
        <v>0.6</v>
      </c>
      <c r="J34" s="294">
        <f>J33/J32</f>
        <v>0.6</v>
      </c>
      <c r="K34" s="294">
        <f>K33/K32</f>
        <v>0.8</v>
      </c>
      <c r="L34" s="294">
        <f>L33/L32</f>
        <v>0.4</v>
      </c>
      <c r="M34" s="294">
        <f t="shared" ref="M34" si="8">M33/M32</f>
        <v>0.4</v>
      </c>
      <c r="N34" s="294">
        <f>N33/N32</f>
        <v>0.4</v>
      </c>
    </row>
    <row r="35" spans="1:14" x14ac:dyDescent="0.2">
      <c r="A35" s="295" t="s">
        <v>30</v>
      </c>
      <c r="B35" s="292" t="s">
        <v>11</v>
      </c>
      <c r="C35" s="289" t="s">
        <v>67</v>
      </c>
      <c r="D35" s="289" t="s">
        <v>67</v>
      </c>
      <c r="E35" s="289" t="s">
        <v>66</v>
      </c>
      <c r="F35" s="289" t="s">
        <v>66</v>
      </c>
      <c r="G35" s="289" t="s">
        <v>66</v>
      </c>
      <c r="H35" s="289" t="s">
        <v>66</v>
      </c>
      <c r="I35" s="289" t="s">
        <v>66</v>
      </c>
      <c r="J35" s="289" t="s">
        <v>66</v>
      </c>
      <c r="K35" s="289" t="s">
        <v>67</v>
      </c>
      <c r="L35" s="289" t="s">
        <v>66</v>
      </c>
      <c r="M35" s="289" t="s">
        <v>66</v>
      </c>
      <c r="N35" s="289" t="s">
        <v>66</v>
      </c>
    </row>
    <row r="36" spans="1:14" x14ac:dyDescent="0.2">
      <c r="A36" s="286" t="s">
        <v>74</v>
      </c>
      <c r="B36" s="282" t="s">
        <v>72</v>
      </c>
      <c r="C36" s="289">
        <v>3</v>
      </c>
      <c r="D36" s="289">
        <v>3</v>
      </c>
      <c r="E36" s="289">
        <v>1</v>
      </c>
      <c r="F36" s="289">
        <v>8</v>
      </c>
      <c r="G36" s="289">
        <v>7</v>
      </c>
      <c r="H36" s="285">
        <v>8</v>
      </c>
      <c r="I36" s="285">
        <v>10</v>
      </c>
      <c r="J36" s="285">
        <v>8</v>
      </c>
      <c r="K36" s="285">
        <v>7</v>
      </c>
      <c r="L36" s="285">
        <v>8</v>
      </c>
      <c r="M36" s="285">
        <v>7</v>
      </c>
      <c r="N36" s="285">
        <v>4</v>
      </c>
    </row>
    <row r="37" spans="1:14" x14ac:dyDescent="0.2">
      <c r="A37" s="20" t="s">
        <v>20</v>
      </c>
      <c r="B37" s="21"/>
      <c r="C37" s="22"/>
      <c r="D37" s="288"/>
      <c r="E37" s="288"/>
      <c r="F37" s="22"/>
      <c r="G37" s="22"/>
      <c r="H37" s="22"/>
      <c r="I37" s="22"/>
      <c r="J37" s="22"/>
      <c r="K37" s="22"/>
      <c r="L37" s="22"/>
      <c r="M37" s="22"/>
      <c r="N37" s="22"/>
    </row>
    <row r="38" spans="1:14" x14ac:dyDescent="0.2">
      <c r="A38" s="274" t="s">
        <v>27</v>
      </c>
      <c r="B38" s="275" t="s">
        <v>167</v>
      </c>
      <c r="C38" s="289">
        <v>5</v>
      </c>
      <c r="D38" s="289">
        <v>5</v>
      </c>
      <c r="E38" s="289">
        <v>5</v>
      </c>
      <c r="F38" s="289">
        <v>5</v>
      </c>
      <c r="G38" s="289">
        <v>5</v>
      </c>
      <c r="H38" s="285">
        <v>5</v>
      </c>
      <c r="I38" s="285">
        <v>5</v>
      </c>
      <c r="J38" s="285">
        <v>5</v>
      </c>
      <c r="K38" s="285">
        <v>5</v>
      </c>
      <c r="L38" s="285">
        <v>5</v>
      </c>
      <c r="M38" s="285">
        <v>5</v>
      </c>
      <c r="N38" s="285">
        <v>5</v>
      </c>
    </row>
    <row r="39" spans="1:14" s="61" customFormat="1" x14ac:dyDescent="0.2">
      <c r="A39" s="277" t="s">
        <v>183</v>
      </c>
      <c r="B39" s="278" t="s">
        <v>167</v>
      </c>
      <c r="C39" s="291">
        <v>2</v>
      </c>
      <c r="D39" s="291">
        <v>4</v>
      </c>
      <c r="E39" s="291">
        <v>1</v>
      </c>
      <c r="F39" s="291">
        <v>1</v>
      </c>
      <c r="G39" s="291">
        <v>2</v>
      </c>
      <c r="H39" s="283">
        <v>2</v>
      </c>
      <c r="I39" s="283">
        <v>2</v>
      </c>
      <c r="J39" s="283">
        <v>3</v>
      </c>
      <c r="K39" s="283">
        <v>3</v>
      </c>
      <c r="L39" s="283">
        <v>2</v>
      </c>
      <c r="M39" s="283">
        <v>3</v>
      </c>
      <c r="N39" s="283">
        <v>1</v>
      </c>
    </row>
    <row r="40" spans="1:14" x14ac:dyDescent="0.2">
      <c r="A40" s="274" t="s">
        <v>23</v>
      </c>
      <c r="B40" s="292" t="s">
        <v>0</v>
      </c>
      <c r="C40" s="293">
        <f t="shared" ref="C40:H40" si="9">C39/C38</f>
        <v>0.4</v>
      </c>
      <c r="D40" s="293">
        <f t="shared" si="9"/>
        <v>0.8</v>
      </c>
      <c r="E40" s="293">
        <f t="shared" si="9"/>
        <v>0.2</v>
      </c>
      <c r="F40" s="293">
        <f t="shared" si="9"/>
        <v>0.2</v>
      </c>
      <c r="G40" s="294">
        <f t="shared" si="9"/>
        <v>0.4</v>
      </c>
      <c r="H40" s="294">
        <f t="shared" si="9"/>
        <v>0.4</v>
      </c>
      <c r="I40" s="294">
        <f>I39/I38</f>
        <v>0.4</v>
      </c>
      <c r="J40" s="294">
        <f>J39/J38</f>
        <v>0.6</v>
      </c>
      <c r="K40" s="294">
        <f>K39/K38</f>
        <v>0.6</v>
      </c>
      <c r="L40" s="294">
        <f>L39/L38</f>
        <v>0.4</v>
      </c>
      <c r="M40" s="294">
        <f t="shared" ref="M40" si="10">M39/M38</f>
        <v>0.6</v>
      </c>
      <c r="N40" s="294">
        <v>0.2</v>
      </c>
    </row>
    <row r="41" spans="1:14" x14ac:dyDescent="0.2">
      <c r="A41" s="295" t="s">
        <v>30</v>
      </c>
      <c r="B41" s="292" t="s">
        <v>11</v>
      </c>
      <c r="C41" s="289" t="s">
        <v>67</v>
      </c>
      <c r="D41" s="289" t="s">
        <v>66</v>
      </c>
      <c r="E41" s="289" t="s">
        <v>66</v>
      </c>
      <c r="F41" s="289" t="s">
        <v>66</v>
      </c>
      <c r="G41" s="289" t="s">
        <v>66</v>
      </c>
      <c r="H41" s="289" t="s">
        <v>66</v>
      </c>
      <c r="I41" s="289" t="s">
        <v>66</v>
      </c>
      <c r="J41" s="289" t="s">
        <v>66</v>
      </c>
      <c r="K41" s="289" t="s">
        <v>66</v>
      </c>
      <c r="L41" s="289" t="s">
        <v>66</v>
      </c>
      <c r="M41" s="289" t="s">
        <v>66</v>
      </c>
      <c r="N41" s="289" t="s">
        <v>66</v>
      </c>
    </row>
    <row r="42" spans="1:14" x14ac:dyDescent="0.2">
      <c r="A42" s="286" t="s">
        <v>74</v>
      </c>
      <c r="B42" s="282" t="s">
        <v>72</v>
      </c>
      <c r="C42" s="289">
        <v>2</v>
      </c>
      <c r="D42" s="289">
        <v>2</v>
      </c>
      <c r="E42" s="289">
        <v>4</v>
      </c>
      <c r="F42" s="289">
        <v>5</v>
      </c>
      <c r="G42" s="289">
        <v>6</v>
      </c>
      <c r="H42" s="285">
        <v>7</v>
      </c>
      <c r="I42" s="285">
        <v>5</v>
      </c>
      <c r="J42" s="285">
        <v>4</v>
      </c>
      <c r="K42" s="285">
        <v>4</v>
      </c>
      <c r="L42" s="285">
        <v>4</v>
      </c>
      <c r="M42" s="285">
        <v>4</v>
      </c>
      <c r="N42" s="285">
        <v>3</v>
      </c>
    </row>
    <row r="43" spans="1:14" x14ac:dyDescent="0.2">
      <c r="A43" s="20" t="s">
        <v>218</v>
      </c>
      <c r="B43" s="21"/>
      <c r="C43" s="22"/>
      <c r="D43" s="288"/>
      <c r="E43" s="288"/>
      <c r="F43" s="22"/>
      <c r="G43" s="22"/>
      <c r="H43" s="22"/>
      <c r="I43" s="22"/>
      <c r="J43" s="22"/>
      <c r="K43" s="22"/>
      <c r="L43" s="22"/>
      <c r="M43" s="288"/>
      <c r="N43" s="288"/>
    </row>
    <row r="44" spans="1:14" x14ac:dyDescent="0.2">
      <c r="A44" s="274" t="s">
        <v>27</v>
      </c>
      <c r="B44" s="275" t="s">
        <v>167</v>
      </c>
      <c r="C44" s="289">
        <v>4</v>
      </c>
      <c r="D44" s="289">
        <v>4</v>
      </c>
      <c r="E44" s="289">
        <v>4</v>
      </c>
      <c r="F44" s="289">
        <v>4</v>
      </c>
      <c r="G44" s="290">
        <v>4</v>
      </c>
      <c r="H44" s="285">
        <v>5</v>
      </c>
      <c r="I44" s="285">
        <v>5</v>
      </c>
      <c r="J44" s="285">
        <v>5</v>
      </c>
      <c r="K44" s="285">
        <v>5</v>
      </c>
      <c r="L44" s="285">
        <v>5</v>
      </c>
      <c r="M44" s="285">
        <v>5</v>
      </c>
      <c r="N44" s="285">
        <v>5</v>
      </c>
    </row>
    <row r="45" spans="1:14" s="61" customFormat="1" x14ac:dyDescent="0.2">
      <c r="A45" s="277" t="s">
        <v>183</v>
      </c>
      <c r="B45" s="278" t="s">
        <v>167</v>
      </c>
      <c r="C45" s="291">
        <v>3</v>
      </c>
      <c r="D45" s="291">
        <v>3</v>
      </c>
      <c r="E45" s="291">
        <v>2</v>
      </c>
      <c r="F45" s="291">
        <v>2</v>
      </c>
      <c r="G45" s="291">
        <v>2</v>
      </c>
      <c r="H45" s="283">
        <v>3</v>
      </c>
      <c r="I45" s="283">
        <v>3</v>
      </c>
      <c r="J45" s="283">
        <v>3</v>
      </c>
      <c r="K45" s="283">
        <v>3</v>
      </c>
      <c r="L45" s="283">
        <v>3</v>
      </c>
      <c r="M45" s="283">
        <v>3</v>
      </c>
      <c r="N45" s="283">
        <v>3</v>
      </c>
    </row>
    <row r="46" spans="1:14" x14ac:dyDescent="0.2">
      <c r="A46" s="274" t="s">
        <v>23</v>
      </c>
      <c r="B46" s="292" t="s">
        <v>0</v>
      </c>
      <c r="C46" s="293">
        <f t="shared" ref="C46:H46" si="11">C45/C44</f>
        <v>0.75</v>
      </c>
      <c r="D46" s="293">
        <f t="shared" si="11"/>
        <v>0.75</v>
      </c>
      <c r="E46" s="294">
        <f t="shared" si="11"/>
        <v>0.5</v>
      </c>
      <c r="F46" s="293">
        <f t="shared" si="11"/>
        <v>0.5</v>
      </c>
      <c r="G46" s="294">
        <f t="shared" si="11"/>
        <v>0.5</v>
      </c>
      <c r="H46" s="294">
        <f t="shared" si="11"/>
        <v>0.6</v>
      </c>
      <c r="I46" s="294">
        <f>I45/I44</f>
        <v>0.6</v>
      </c>
      <c r="J46" s="294">
        <f>J45/J44</f>
        <v>0.6</v>
      </c>
      <c r="K46" s="294">
        <f>K45/K44</f>
        <v>0.6</v>
      </c>
      <c r="L46" s="294">
        <f>L45/L44</f>
        <v>0.6</v>
      </c>
      <c r="M46" s="294">
        <f t="shared" ref="M46" si="12">M45/M44</f>
        <v>0.6</v>
      </c>
      <c r="N46" s="294">
        <f>N45/N44</f>
        <v>0.6</v>
      </c>
    </row>
    <row r="47" spans="1:14" x14ac:dyDescent="0.2">
      <c r="A47" s="295" t="s">
        <v>30</v>
      </c>
      <c r="B47" s="292" t="s">
        <v>11</v>
      </c>
      <c r="C47" s="293" t="s">
        <v>67</v>
      </c>
      <c r="D47" s="293" t="s">
        <v>67</v>
      </c>
      <c r="E47" s="293" t="s">
        <v>67</v>
      </c>
      <c r="F47" s="293" t="s">
        <v>67</v>
      </c>
      <c r="G47" s="293" t="s">
        <v>67</v>
      </c>
      <c r="H47" s="293" t="s">
        <v>67</v>
      </c>
      <c r="I47" s="293" t="s">
        <v>67</v>
      </c>
      <c r="J47" s="293" t="s">
        <v>67</v>
      </c>
      <c r="K47" s="293" t="s">
        <v>67</v>
      </c>
      <c r="L47" s="293" t="s">
        <v>67</v>
      </c>
      <c r="M47" s="293" t="s">
        <v>67</v>
      </c>
      <c r="N47" s="293" t="s">
        <v>67</v>
      </c>
    </row>
    <row r="48" spans="1:14" x14ac:dyDescent="0.2">
      <c r="A48" s="286" t="s">
        <v>74</v>
      </c>
      <c r="B48" s="282" t="s">
        <v>72</v>
      </c>
      <c r="C48" s="289" t="s">
        <v>2</v>
      </c>
      <c r="D48" s="289">
        <v>1</v>
      </c>
      <c r="E48" s="289">
        <v>1</v>
      </c>
      <c r="F48" s="289">
        <v>3</v>
      </c>
      <c r="G48" s="289">
        <v>9</v>
      </c>
      <c r="H48" s="285">
        <v>10</v>
      </c>
      <c r="I48" s="285">
        <v>10</v>
      </c>
      <c r="J48" s="285">
        <v>18</v>
      </c>
      <c r="K48" s="285">
        <v>8</v>
      </c>
      <c r="L48" s="285">
        <v>9</v>
      </c>
      <c r="M48" s="285">
        <v>12</v>
      </c>
      <c r="N48" s="285">
        <v>15</v>
      </c>
    </row>
    <row r="49" spans="1:14" x14ac:dyDescent="0.2">
      <c r="A49" s="20" t="s">
        <v>22</v>
      </c>
      <c r="B49" s="21"/>
      <c r="C49" s="22"/>
      <c r="D49" s="288"/>
      <c r="E49" s="288"/>
      <c r="F49" s="22"/>
      <c r="G49" s="22"/>
      <c r="H49" s="22"/>
      <c r="I49" s="22"/>
      <c r="J49" s="22"/>
      <c r="K49" s="22"/>
      <c r="L49" s="22"/>
      <c r="M49" s="22"/>
      <c r="N49" s="22"/>
    </row>
    <row r="50" spans="1:14" x14ac:dyDescent="0.2">
      <c r="A50" s="274" t="s">
        <v>27</v>
      </c>
      <c r="B50" s="275" t="s">
        <v>167</v>
      </c>
      <c r="C50" s="289">
        <v>3</v>
      </c>
      <c r="D50" s="289">
        <v>3</v>
      </c>
      <c r="E50" s="289">
        <v>3</v>
      </c>
      <c r="F50" s="289">
        <v>4</v>
      </c>
      <c r="G50" s="290">
        <v>4</v>
      </c>
      <c r="H50" s="285">
        <v>5</v>
      </c>
      <c r="I50" s="285">
        <v>5</v>
      </c>
      <c r="J50" s="285">
        <v>5</v>
      </c>
      <c r="K50" s="285">
        <v>5</v>
      </c>
      <c r="L50" s="285">
        <v>5</v>
      </c>
      <c r="M50" s="285">
        <v>5</v>
      </c>
      <c r="N50" s="285">
        <v>5</v>
      </c>
    </row>
    <row r="51" spans="1:14" s="61" customFormat="1" x14ac:dyDescent="0.2">
      <c r="A51" s="277" t="s">
        <v>183</v>
      </c>
      <c r="B51" s="278" t="s">
        <v>167</v>
      </c>
      <c r="C51" s="291">
        <v>1</v>
      </c>
      <c r="D51" s="291">
        <v>1</v>
      </c>
      <c r="E51" s="291">
        <v>1</v>
      </c>
      <c r="F51" s="291">
        <v>2</v>
      </c>
      <c r="G51" s="291">
        <v>2</v>
      </c>
      <c r="H51" s="283">
        <v>3</v>
      </c>
      <c r="I51" s="283">
        <v>3</v>
      </c>
      <c r="J51" s="283">
        <v>3</v>
      </c>
      <c r="K51" s="283">
        <v>3</v>
      </c>
      <c r="L51" s="283">
        <v>4</v>
      </c>
      <c r="M51" s="285">
        <v>4</v>
      </c>
      <c r="N51" s="285">
        <v>3</v>
      </c>
    </row>
    <row r="52" spans="1:14" x14ac:dyDescent="0.2">
      <c r="A52" s="274" t="s">
        <v>23</v>
      </c>
      <c r="B52" s="292" t="s">
        <v>0</v>
      </c>
      <c r="C52" s="293">
        <f t="shared" ref="C52:H52" si="13">C51/C50</f>
        <v>0.33333333333333331</v>
      </c>
      <c r="D52" s="293">
        <f t="shared" si="13"/>
        <v>0.33333333333333331</v>
      </c>
      <c r="E52" s="293">
        <f t="shared" si="13"/>
        <v>0.33333333333333331</v>
      </c>
      <c r="F52" s="293">
        <f t="shared" si="13"/>
        <v>0.5</v>
      </c>
      <c r="G52" s="294">
        <f t="shared" si="13"/>
        <v>0.5</v>
      </c>
      <c r="H52" s="294">
        <f t="shared" si="13"/>
        <v>0.6</v>
      </c>
      <c r="I52" s="294">
        <f>I51/I50</f>
        <v>0.6</v>
      </c>
      <c r="J52" s="294">
        <f>J51/J50</f>
        <v>0.6</v>
      </c>
      <c r="K52" s="294">
        <f>K51/K50</f>
        <v>0.6</v>
      </c>
      <c r="L52" s="294">
        <f>L51/L50</f>
        <v>0.8</v>
      </c>
      <c r="M52" s="294">
        <f t="shared" ref="M52" si="14">M51/M50</f>
        <v>0.8</v>
      </c>
      <c r="N52" s="294">
        <f>N51/N50</f>
        <v>0.6</v>
      </c>
    </row>
    <row r="53" spans="1:14" x14ac:dyDescent="0.2">
      <c r="A53" s="295" t="s">
        <v>30</v>
      </c>
      <c r="B53" s="292" t="s">
        <v>11</v>
      </c>
      <c r="C53" s="289" t="s">
        <v>66</v>
      </c>
      <c r="D53" s="293" t="s">
        <v>67</v>
      </c>
      <c r="E53" s="293" t="s">
        <v>67</v>
      </c>
      <c r="F53" s="293" t="s">
        <v>67</v>
      </c>
      <c r="G53" s="293" t="s">
        <v>67</v>
      </c>
      <c r="H53" s="293" t="s">
        <v>67</v>
      </c>
      <c r="I53" s="293" t="s">
        <v>67</v>
      </c>
      <c r="J53" s="293" t="s">
        <v>67</v>
      </c>
      <c r="K53" s="293" t="s">
        <v>67</v>
      </c>
      <c r="L53" s="293" t="s">
        <v>67</v>
      </c>
      <c r="M53" s="293" t="s">
        <v>67</v>
      </c>
      <c r="N53" s="293" t="s">
        <v>67</v>
      </c>
    </row>
    <row r="54" spans="1:14" x14ac:dyDescent="0.2">
      <c r="A54" s="286" t="s">
        <v>74</v>
      </c>
      <c r="B54" s="282" t="s">
        <v>72</v>
      </c>
      <c r="C54" s="289">
        <v>2</v>
      </c>
      <c r="D54" s="289">
        <v>10</v>
      </c>
      <c r="E54" s="289">
        <v>6</v>
      </c>
      <c r="F54" s="289">
        <v>11</v>
      </c>
      <c r="G54" s="289">
        <v>9</v>
      </c>
      <c r="H54" s="285">
        <v>8</v>
      </c>
      <c r="I54" s="285">
        <v>15</v>
      </c>
      <c r="J54" s="285">
        <v>12</v>
      </c>
      <c r="K54" s="285">
        <v>10</v>
      </c>
      <c r="L54" s="285">
        <v>13</v>
      </c>
      <c r="M54" s="285">
        <v>19</v>
      </c>
      <c r="N54" s="285">
        <v>19</v>
      </c>
    </row>
    <row r="55" spans="1:14" ht="15" customHeight="1" x14ac:dyDescent="0.2">
      <c r="A55" s="296" t="s">
        <v>281</v>
      </c>
      <c r="B55" s="21"/>
      <c r="C55" s="22"/>
      <c r="D55" s="22"/>
      <c r="E55" s="22"/>
      <c r="F55" s="22"/>
      <c r="G55" s="22"/>
      <c r="H55" s="22"/>
      <c r="I55" s="22"/>
      <c r="J55" s="22"/>
      <c r="K55" s="22"/>
      <c r="L55" s="22"/>
      <c r="M55" s="22"/>
      <c r="N55" s="22"/>
    </row>
    <row r="56" spans="1:14" x14ac:dyDescent="0.2">
      <c r="A56" s="274" t="s">
        <v>27</v>
      </c>
      <c r="B56" s="275" t="s">
        <v>167</v>
      </c>
      <c r="C56" s="289"/>
      <c r="D56" s="289"/>
      <c r="E56" s="289"/>
      <c r="F56" s="289"/>
      <c r="G56" s="290"/>
      <c r="H56" s="285"/>
      <c r="I56" s="285"/>
      <c r="J56" s="285"/>
      <c r="K56" s="285"/>
      <c r="L56" s="285"/>
      <c r="M56" s="285">
        <v>5</v>
      </c>
      <c r="N56" s="285">
        <v>5</v>
      </c>
    </row>
    <row r="57" spans="1:14" x14ac:dyDescent="0.2">
      <c r="A57" s="277" t="s">
        <v>183</v>
      </c>
      <c r="B57" s="275" t="s">
        <v>167</v>
      </c>
      <c r="C57" s="289"/>
      <c r="D57" s="289"/>
      <c r="E57" s="289"/>
      <c r="F57" s="289"/>
      <c r="G57" s="289"/>
      <c r="H57" s="285"/>
      <c r="I57" s="285"/>
      <c r="J57" s="285"/>
      <c r="K57" s="285"/>
      <c r="L57" s="285"/>
      <c r="M57" s="285">
        <v>4</v>
      </c>
      <c r="N57" s="285">
        <v>4</v>
      </c>
    </row>
    <row r="58" spans="1:14" x14ac:dyDescent="0.2">
      <c r="A58" s="274" t="s">
        <v>23</v>
      </c>
      <c r="B58" s="292" t="s">
        <v>0</v>
      </c>
      <c r="C58" s="293"/>
      <c r="D58" s="293"/>
      <c r="E58" s="294"/>
      <c r="F58" s="293"/>
      <c r="G58" s="294"/>
      <c r="H58" s="294"/>
      <c r="I58" s="294"/>
      <c r="J58" s="294"/>
      <c r="K58" s="294"/>
      <c r="L58" s="294"/>
      <c r="M58" s="297">
        <f>M57/M56</f>
        <v>0.8</v>
      </c>
      <c r="N58" s="297">
        <f>N57/N56</f>
        <v>0.8</v>
      </c>
    </row>
    <row r="59" spans="1:14" x14ac:dyDescent="0.2">
      <c r="A59" s="295" t="s">
        <v>30</v>
      </c>
      <c r="B59" s="292" t="s">
        <v>11</v>
      </c>
      <c r="C59" s="293"/>
      <c r="D59" s="293"/>
      <c r="E59" s="293"/>
      <c r="F59" s="293"/>
      <c r="G59" s="293"/>
      <c r="H59" s="293"/>
      <c r="I59" s="293"/>
      <c r="J59" s="293"/>
      <c r="K59" s="293"/>
      <c r="L59" s="293"/>
      <c r="M59" s="293" t="s">
        <v>67</v>
      </c>
      <c r="N59" s="293" t="s">
        <v>67</v>
      </c>
    </row>
    <row r="60" spans="1:14" x14ac:dyDescent="0.2">
      <c r="A60" s="286" t="s">
        <v>74</v>
      </c>
      <c r="B60" s="282" t="s">
        <v>72</v>
      </c>
      <c r="C60" s="289"/>
      <c r="D60" s="289"/>
      <c r="E60" s="289"/>
      <c r="F60" s="289"/>
      <c r="G60" s="289"/>
      <c r="H60" s="285"/>
      <c r="I60" s="285"/>
      <c r="J60" s="285"/>
      <c r="K60" s="285"/>
      <c r="L60" s="285"/>
      <c r="M60" s="285">
        <v>1</v>
      </c>
      <c r="N60" s="285">
        <v>4</v>
      </c>
    </row>
    <row r="61" spans="1:14" ht="15.75" x14ac:dyDescent="0.2">
      <c r="A61" s="16" t="s">
        <v>282</v>
      </c>
      <c r="B61" s="17"/>
      <c r="C61" s="18"/>
      <c r="D61" s="18"/>
      <c r="E61" s="18"/>
      <c r="F61" s="18"/>
      <c r="G61" s="18"/>
      <c r="H61" s="18"/>
      <c r="I61" s="18"/>
      <c r="J61" s="18"/>
      <c r="K61" s="18"/>
      <c r="L61" s="18"/>
      <c r="M61" s="18"/>
      <c r="N61" s="18"/>
    </row>
    <row r="62" spans="1:14" x14ac:dyDescent="0.2">
      <c r="A62" s="274" t="s">
        <v>76</v>
      </c>
      <c r="B62" s="275" t="s">
        <v>167</v>
      </c>
      <c r="C62" s="298">
        <v>7</v>
      </c>
      <c r="D62" s="298">
        <v>6</v>
      </c>
      <c r="E62" s="298">
        <v>11</v>
      </c>
      <c r="F62" s="298">
        <v>13</v>
      </c>
      <c r="G62" s="298">
        <v>13</v>
      </c>
      <c r="H62" s="276">
        <v>13</v>
      </c>
      <c r="I62" s="276">
        <v>13</v>
      </c>
      <c r="J62" s="276">
        <v>13</v>
      </c>
      <c r="K62" s="276">
        <v>12</v>
      </c>
      <c r="L62" s="276">
        <v>10</v>
      </c>
      <c r="M62" s="276">
        <v>10</v>
      </c>
      <c r="N62" s="276">
        <v>10</v>
      </c>
    </row>
    <row r="63" spans="1:14" x14ac:dyDescent="0.2">
      <c r="A63" s="274" t="s">
        <v>77</v>
      </c>
      <c r="B63" s="275" t="s">
        <v>167</v>
      </c>
      <c r="C63" s="298">
        <v>0</v>
      </c>
      <c r="D63" s="298">
        <v>1</v>
      </c>
      <c r="E63" s="298">
        <v>3</v>
      </c>
      <c r="F63" s="298">
        <v>4</v>
      </c>
      <c r="G63" s="298">
        <v>4</v>
      </c>
      <c r="H63" s="276">
        <v>5</v>
      </c>
      <c r="I63" s="276">
        <v>5</v>
      </c>
      <c r="J63" s="276">
        <v>4</v>
      </c>
      <c r="K63" s="276">
        <v>4</v>
      </c>
      <c r="L63" s="276">
        <v>4</v>
      </c>
      <c r="M63" s="276">
        <v>4</v>
      </c>
      <c r="N63" s="276">
        <v>4</v>
      </c>
    </row>
    <row r="64" spans="1:14" x14ac:dyDescent="0.2">
      <c r="A64" s="286" t="s">
        <v>75</v>
      </c>
      <c r="B64" s="282" t="s">
        <v>72</v>
      </c>
      <c r="C64" s="298">
        <v>58</v>
      </c>
      <c r="D64" s="298">
        <v>51</v>
      </c>
      <c r="E64" s="298">
        <v>45</v>
      </c>
      <c r="F64" s="298">
        <v>37</v>
      </c>
      <c r="G64" s="298">
        <v>44</v>
      </c>
      <c r="H64" s="276">
        <v>38</v>
      </c>
      <c r="I64" s="276">
        <v>36</v>
      </c>
      <c r="J64" s="276">
        <v>32</v>
      </c>
      <c r="K64" s="276">
        <v>22</v>
      </c>
      <c r="L64" s="276">
        <v>22</v>
      </c>
      <c r="M64" s="276">
        <v>22</v>
      </c>
      <c r="N64" s="276">
        <v>21</v>
      </c>
    </row>
    <row r="65" spans="1:14" x14ac:dyDescent="0.2">
      <c r="A65" s="16" t="s">
        <v>79</v>
      </c>
      <c r="B65" s="299"/>
      <c r="C65" s="18"/>
      <c r="D65" s="18"/>
      <c r="E65" s="18"/>
      <c r="F65" s="18"/>
      <c r="G65" s="18"/>
      <c r="H65" s="18"/>
      <c r="I65" s="18"/>
      <c r="J65" s="18"/>
      <c r="K65" s="18"/>
      <c r="L65" s="18"/>
      <c r="M65" s="18"/>
      <c r="N65" s="18"/>
    </row>
    <row r="66" spans="1:14" ht="15.75" x14ac:dyDescent="0.2">
      <c r="A66" s="300" t="s">
        <v>283</v>
      </c>
      <c r="B66" s="233" t="s">
        <v>152</v>
      </c>
      <c r="C66" s="301">
        <v>5.1667142565498496</v>
      </c>
      <c r="D66" s="301">
        <v>4.9367476570289099</v>
      </c>
      <c r="E66" s="301">
        <v>3.9139547224315501</v>
      </c>
      <c r="F66" s="301">
        <v>3.1880629956508999</v>
      </c>
      <c r="G66" s="301">
        <v>2.1868371449803901</v>
      </c>
      <c r="H66" s="301">
        <v>1.8218868082148298</v>
      </c>
      <c r="I66" s="301">
        <v>4.2273119999999995</v>
      </c>
      <c r="J66" s="301">
        <v>3.5</v>
      </c>
      <c r="K66" s="301">
        <v>3.1230000000000002</v>
      </c>
      <c r="L66" s="301">
        <v>4.2380000000000004</v>
      </c>
      <c r="M66" s="301">
        <v>4.5999999999999996</v>
      </c>
      <c r="N66" s="301">
        <v>5</v>
      </c>
    </row>
    <row r="67" spans="1:14" x14ac:dyDescent="0.2">
      <c r="A67" s="158" t="s">
        <v>78</v>
      </c>
      <c r="B67" s="302" t="s">
        <v>0</v>
      </c>
      <c r="C67" s="303" t="s">
        <v>1</v>
      </c>
      <c r="D67" s="303" t="s">
        <v>1</v>
      </c>
      <c r="E67" s="303" t="s">
        <v>1</v>
      </c>
      <c r="F67" s="303" t="s">
        <v>1</v>
      </c>
      <c r="G67" s="303" t="s">
        <v>1</v>
      </c>
      <c r="H67" s="304">
        <v>0.15</v>
      </c>
      <c r="I67" s="304">
        <v>0.24</v>
      </c>
      <c r="J67" s="304">
        <v>0.55000000000000004</v>
      </c>
      <c r="K67" s="304">
        <v>0.38</v>
      </c>
      <c r="L67" s="304">
        <v>0.45029431000654024</v>
      </c>
      <c r="M67" s="304">
        <v>0.48</v>
      </c>
      <c r="N67" s="304">
        <v>0.49</v>
      </c>
    </row>
    <row r="68" spans="1:14" x14ac:dyDescent="0.2">
      <c r="A68" s="16" t="s">
        <v>120</v>
      </c>
      <c r="B68" s="299"/>
      <c r="C68" s="18"/>
      <c r="D68" s="18"/>
      <c r="E68" s="18"/>
      <c r="F68" s="18"/>
      <c r="G68" s="18"/>
      <c r="H68" s="18"/>
      <c r="I68" s="18"/>
      <c r="J68" s="18"/>
      <c r="K68" s="18"/>
      <c r="L68" s="18"/>
      <c r="M68" s="18"/>
      <c r="N68" s="18"/>
    </row>
    <row r="69" spans="1:14" x14ac:dyDescent="0.2">
      <c r="A69" s="158" t="s">
        <v>10</v>
      </c>
      <c r="B69" s="159" t="s">
        <v>7</v>
      </c>
      <c r="C69" s="163">
        <v>29.39</v>
      </c>
      <c r="D69" s="163">
        <v>31.093</v>
      </c>
      <c r="E69" s="163">
        <v>31.847999999999999</v>
      </c>
      <c r="F69" s="163">
        <v>38.421700000000001</v>
      </c>
      <c r="G69" s="163">
        <v>60.957900000000002</v>
      </c>
      <c r="H69" s="163">
        <v>67.034899999999993</v>
      </c>
      <c r="I69" s="163">
        <v>58.352899999999998</v>
      </c>
      <c r="J69" s="163">
        <v>62.707799999999999</v>
      </c>
      <c r="K69" s="163">
        <v>64.736199999999997</v>
      </c>
      <c r="L69" s="163">
        <v>72.150000000000006</v>
      </c>
      <c r="M69" s="162">
        <v>73.6541</v>
      </c>
      <c r="N69" s="162">
        <v>68.549400000000006</v>
      </c>
    </row>
    <row r="70" spans="1:14" x14ac:dyDescent="0.2">
      <c r="A70" s="285"/>
      <c r="B70" s="305"/>
      <c r="C70" s="298"/>
      <c r="D70" s="298"/>
      <c r="E70" s="298"/>
      <c r="F70" s="298"/>
      <c r="G70" s="298"/>
      <c r="M70" s="306"/>
      <c r="N70" s="306"/>
    </row>
    <row r="71" spans="1:14" x14ac:dyDescent="0.2">
      <c r="A71" s="186"/>
      <c r="B71" s="307"/>
      <c r="C71" s="298"/>
      <c r="D71" s="298"/>
      <c r="E71" s="298"/>
      <c r="F71" s="298"/>
      <c r="G71" s="298"/>
      <c r="M71" s="306"/>
      <c r="N71" s="306"/>
    </row>
    <row r="72" spans="1:14" x14ac:dyDescent="0.2">
      <c r="A72" s="175" t="s">
        <v>206</v>
      </c>
      <c r="B72" s="175"/>
      <c r="C72" s="261"/>
      <c r="D72" s="261"/>
      <c r="E72" s="261"/>
      <c r="F72" s="261"/>
      <c r="G72" s="261"/>
      <c r="H72" s="261"/>
      <c r="I72" s="281"/>
      <c r="J72" s="281"/>
      <c r="K72" s="281"/>
      <c r="L72" s="281"/>
      <c r="M72" s="308"/>
      <c r="N72" s="261"/>
    </row>
    <row r="73" spans="1:14" x14ac:dyDescent="0.2">
      <c r="A73" s="267" t="s">
        <v>37</v>
      </c>
      <c r="B73" s="309"/>
      <c r="C73" s="310"/>
      <c r="D73" s="310"/>
      <c r="E73" s="310"/>
      <c r="F73" s="310"/>
      <c r="G73" s="310"/>
      <c r="H73" s="310"/>
      <c r="I73" s="281"/>
      <c r="J73" s="281"/>
      <c r="K73" s="281"/>
      <c r="L73" s="281"/>
      <c r="M73" s="308"/>
      <c r="N73" s="176"/>
    </row>
    <row r="74" spans="1:14" x14ac:dyDescent="0.2">
      <c r="A74" s="311" t="s">
        <v>219</v>
      </c>
      <c r="B74" s="312"/>
      <c r="C74" s="312"/>
      <c r="D74" s="312"/>
      <c r="E74" s="312"/>
      <c r="F74" s="312"/>
      <c r="G74" s="312"/>
      <c r="H74" s="312"/>
      <c r="I74" s="281"/>
      <c r="J74" s="281"/>
      <c r="K74" s="281"/>
      <c r="L74" s="281"/>
      <c r="M74" s="306"/>
      <c r="N74" s="176"/>
    </row>
    <row r="75" spans="1:14" x14ac:dyDescent="0.2">
      <c r="A75" s="311" t="s">
        <v>38</v>
      </c>
      <c r="B75" s="309"/>
      <c r="C75" s="310"/>
      <c r="D75" s="310"/>
      <c r="E75" s="310"/>
      <c r="F75" s="310"/>
      <c r="G75" s="310"/>
      <c r="H75" s="310"/>
      <c r="I75" s="281"/>
      <c r="J75" s="281"/>
      <c r="K75" s="281"/>
      <c r="L75" s="281"/>
      <c r="M75" s="306"/>
      <c r="N75" s="176"/>
    </row>
    <row r="76" spans="1:14" x14ac:dyDescent="0.2">
      <c r="A76" s="311" t="s">
        <v>39</v>
      </c>
      <c r="B76" s="309"/>
      <c r="C76" s="309"/>
      <c r="D76" s="309"/>
      <c r="E76" s="309"/>
      <c r="F76" s="309"/>
      <c r="G76" s="309"/>
      <c r="H76" s="309"/>
      <c r="I76" s="281"/>
      <c r="J76" s="281"/>
      <c r="K76" s="281"/>
      <c r="L76" s="281"/>
      <c r="M76" s="261"/>
      <c r="N76" s="176"/>
    </row>
    <row r="77" spans="1:14" x14ac:dyDescent="0.2">
      <c r="A77" s="311" t="s">
        <v>220</v>
      </c>
      <c r="B77" s="313"/>
      <c r="C77" s="313"/>
      <c r="D77" s="313"/>
      <c r="E77" s="313"/>
      <c r="F77" s="313"/>
      <c r="G77" s="313"/>
      <c r="H77" s="313"/>
      <c r="I77" s="281"/>
      <c r="J77" s="281"/>
      <c r="K77" s="281"/>
      <c r="L77" s="281"/>
      <c r="M77" s="261"/>
      <c r="N77" s="176"/>
    </row>
    <row r="78" spans="1:14" x14ac:dyDescent="0.2">
      <c r="A78" s="311" t="s">
        <v>221</v>
      </c>
      <c r="B78" s="313"/>
      <c r="C78" s="313"/>
      <c r="D78" s="313"/>
      <c r="E78" s="313"/>
      <c r="F78" s="313"/>
      <c r="G78" s="313"/>
      <c r="H78" s="313"/>
      <c r="I78" s="281"/>
      <c r="J78" s="281"/>
      <c r="K78" s="281"/>
      <c r="L78" s="281"/>
      <c r="M78" s="261"/>
      <c r="N78" s="176"/>
    </row>
    <row r="79" spans="1:14" x14ac:dyDescent="0.2">
      <c r="A79" s="311" t="s">
        <v>222</v>
      </c>
      <c r="B79" s="313"/>
      <c r="C79" s="313"/>
      <c r="D79" s="313"/>
      <c r="E79" s="313"/>
      <c r="F79" s="313"/>
      <c r="G79" s="313"/>
      <c r="H79" s="313"/>
      <c r="I79" s="281"/>
      <c r="J79" s="281"/>
      <c r="K79" s="281"/>
      <c r="L79" s="281"/>
      <c r="M79" s="261"/>
      <c r="N79" s="176"/>
    </row>
    <row r="80" spans="1:14" x14ac:dyDescent="0.2">
      <c r="A80" s="311" t="s">
        <v>40</v>
      </c>
      <c r="B80" s="309"/>
      <c r="C80" s="310"/>
      <c r="D80" s="310"/>
      <c r="E80" s="310"/>
      <c r="F80" s="310"/>
      <c r="G80" s="310"/>
      <c r="H80" s="310"/>
      <c r="I80" s="281"/>
      <c r="J80" s="281"/>
      <c r="K80" s="281"/>
      <c r="L80" s="281"/>
      <c r="M80" s="176"/>
      <c r="N80" s="176"/>
    </row>
    <row r="81" spans="1:14" x14ac:dyDescent="0.2">
      <c r="A81" s="311" t="s">
        <v>43</v>
      </c>
      <c r="B81" s="309"/>
      <c r="C81" s="309"/>
      <c r="D81" s="309"/>
      <c r="E81" s="309"/>
      <c r="F81" s="309"/>
      <c r="G81" s="309"/>
      <c r="H81" s="309"/>
      <c r="I81" s="281"/>
      <c r="J81" s="281"/>
      <c r="K81" s="281"/>
      <c r="L81" s="281"/>
      <c r="M81" s="176"/>
      <c r="N81" s="176"/>
    </row>
    <row r="82" spans="1:14" x14ac:dyDescent="0.2">
      <c r="A82" s="311" t="s">
        <v>44</v>
      </c>
      <c r="B82" s="309"/>
      <c r="C82" s="310"/>
      <c r="D82" s="310"/>
      <c r="E82" s="310"/>
      <c r="F82" s="310"/>
      <c r="G82" s="310"/>
      <c r="H82" s="310"/>
      <c r="M82" s="176"/>
      <c r="N82" s="176"/>
    </row>
    <row r="83" spans="1:14" x14ac:dyDescent="0.2">
      <c r="A83" s="311" t="s">
        <v>223</v>
      </c>
      <c r="B83" s="309"/>
      <c r="C83" s="310"/>
      <c r="D83" s="310"/>
      <c r="E83" s="310"/>
      <c r="F83" s="310"/>
      <c r="G83" s="310"/>
      <c r="H83" s="310"/>
      <c r="I83" s="281"/>
      <c r="J83" s="281"/>
      <c r="K83" s="281"/>
      <c r="L83" s="281"/>
      <c r="M83" s="176"/>
      <c r="N83" s="176"/>
    </row>
    <row r="84" spans="1:14" x14ac:dyDescent="0.2">
      <c r="A84" s="311" t="s">
        <v>224</v>
      </c>
      <c r="B84" s="313"/>
      <c r="C84" s="314"/>
      <c r="D84" s="314"/>
      <c r="E84" s="314"/>
      <c r="F84" s="314"/>
      <c r="G84" s="314"/>
      <c r="H84" s="314"/>
      <c r="I84" s="281"/>
      <c r="J84" s="281"/>
      <c r="K84" s="281"/>
      <c r="L84" s="281"/>
      <c r="M84" s="176"/>
      <c r="N84" s="176"/>
    </row>
    <row r="85" spans="1:14" x14ac:dyDescent="0.2">
      <c r="A85" s="311" t="s">
        <v>41</v>
      </c>
      <c r="B85" s="309"/>
      <c r="C85" s="310"/>
      <c r="D85" s="310"/>
      <c r="E85" s="310"/>
      <c r="F85" s="310"/>
      <c r="G85" s="310"/>
      <c r="H85" s="310"/>
      <c r="M85" s="176"/>
      <c r="N85" s="176"/>
    </row>
    <row r="86" spans="1:14" x14ac:dyDescent="0.2">
      <c r="A86" s="311" t="s">
        <v>42</v>
      </c>
      <c r="B86" s="309"/>
      <c r="C86" s="310"/>
      <c r="D86" s="310"/>
      <c r="E86" s="310"/>
      <c r="F86" s="310"/>
      <c r="G86" s="310"/>
      <c r="H86" s="310"/>
      <c r="I86" s="281"/>
      <c r="J86" s="281"/>
      <c r="K86" s="281"/>
      <c r="L86" s="281"/>
      <c r="M86" s="176"/>
      <c r="N86" s="176"/>
    </row>
    <row r="87" spans="1:14" x14ac:dyDescent="0.2">
      <c r="A87" s="311" t="s">
        <v>225</v>
      </c>
      <c r="N87" s="176"/>
    </row>
    <row r="88" spans="1:14" x14ac:dyDescent="0.2">
      <c r="A88" s="311" t="s">
        <v>45</v>
      </c>
      <c r="B88" s="309"/>
      <c r="C88" s="315"/>
      <c r="D88" s="315"/>
      <c r="E88" s="315"/>
      <c r="F88" s="315"/>
      <c r="G88" s="315"/>
      <c r="H88" s="315"/>
      <c r="M88" s="176"/>
    </row>
    <row r="89" spans="1:14" x14ac:dyDescent="0.2">
      <c r="A89" s="311" t="s">
        <v>46</v>
      </c>
      <c r="B89" s="312"/>
      <c r="C89" s="316"/>
      <c r="D89" s="316"/>
      <c r="E89" s="316"/>
      <c r="F89" s="316"/>
      <c r="G89" s="316"/>
      <c r="H89" s="316"/>
      <c r="M89" s="176"/>
      <c r="N89" s="176"/>
    </row>
    <row r="90" spans="1:14" x14ac:dyDescent="0.2">
      <c r="A90" s="311" t="s">
        <v>80</v>
      </c>
      <c r="B90" s="309"/>
      <c r="C90" s="317"/>
      <c r="D90" s="317"/>
      <c r="E90" s="317"/>
      <c r="F90" s="317"/>
      <c r="G90" s="317"/>
      <c r="H90" s="317"/>
      <c r="M90" s="176"/>
      <c r="N90" s="176"/>
    </row>
    <row r="91" spans="1:14" x14ac:dyDescent="0.2">
      <c r="A91" s="311" t="s">
        <v>154</v>
      </c>
      <c r="B91" s="285"/>
      <c r="C91" s="285"/>
      <c r="D91" s="285"/>
      <c r="E91" s="285"/>
      <c r="F91" s="285"/>
      <c r="G91" s="285"/>
      <c r="H91" s="285"/>
      <c r="M91" s="176"/>
      <c r="N91" s="176"/>
    </row>
    <row r="92" spans="1:14" x14ac:dyDescent="0.2">
      <c r="A92" s="311" t="s">
        <v>197</v>
      </c>
      <c r="B92" s="281"/>
      <c r="C92" s="281"/>
      <c r="D92" s="281"/>
      <c r="E92" s="281"/>
      <c r="F92" s="281"/>
      <c r="G92" s="281"/>
      <c r="H92" s="281"/>
      <c r="I92" s="281"/>
      <c r="J92" s="281"/>
      <c r="K92" s="281"/>
      <c r="L92" s="281"/>
      <c r="M92" s="176"/>
      <c r="N92" s="281"/>
    </row>
    <row r="93" spans="1:14" x14ac:dyDescent="0.2">
      <c r="A93" s="267"/>
      <c r="B93" s="281"/>
      <c r="C93" s="281"/>
      <c r="D93" s="281"/>
      <c r="E93" s="281"/>
      <c r="F93" s="281"/>
      <c r="G93" s="281"/>
      <c r="H93" s="281"/>
      <c r="I93" s="281"/>
      <c r="J93" s="281"/>
      <c r="K93" s="281"/>
      <c r="L93" s="281"/>
      <c r="M93" s="176"/>
      <c r="N93" s="281"/>
    </row>
    <row r="94" spans="1:14" x14ac:dyDescent="0.2">
      <c r="A94" s="318" t="s">
        <v>31</v>
      </c>
      <c r="B94" s="307"/>
      <c r="C94" s="298"/>
      <c r="D94" s="298"/>
      <c r="E94" s="298"/>
      <c r="F94" s="298"/>
      <c r="G94" s="298"/>
      <c r="M94" s="176"/>
    </row>
    <row r="95" spans="1:14" ht="15.75" x14ac:dyDescent="0.2">
      <c r="A95" s="319" t="s">
        <v>284</v>
      </c>
      <c r="B95" s="307"/>
      <c r="C95" s="298"/>
      <c r="D95" s="298"/>
      <c r="E95" s="298"/>
      <c r="F95" s="298"/>
      <c r="G95" s="298"/>
      <c r="M95" s="176"/>
      <c r="N95" s="281"/>
    </row>
    <row r="96" spans="1:14" ht="15.75" x14ac:dyDescent="0.2">
      <c r="A96" s="186" t="s">
        <v>285</v>
      </c>
      <c r="B96" s="307"/>
      <c r="C96" s="298"/>
      <c r="D96" s="298"/>
      <c r="E96" s="298"/>
      <c r="F96" s="298"/>
      <c r="G96" s="298"/>
      <c r="M96" s="176"/>
      <c r="N96" s="306"/>
    </row>
    <row r="97" spans="1:14" ht="15.75" x14ac:dyDescent="0.2">
      <c r="A97" s="186" t="s">
        <v>286</v>
      </c>
      <c r="B97" s="307"/>
      <c r="C97" s="298"/>
      <c r="D97" s="298"/>
      <c r="E97" s="298"/>
      <c r="F97" s="298"/>
      <c r="G97" s="298"/>
      <c r="N97" s="308"/>
    </row>
    <row r="98" spans="1:14" x14ac:dyDescent="0.2">
      <c r="M98" s="176"/>
      <c r="N98" s="308"/>
    </row>
    <row r="99" spans="1:14" x14ac:dyDescent="0.2">
      <c r="M99" s="176"/>
      <c r="N99" s="306"/>
    </row>
    <row r="100" spans="1:14" x14ac:dyDescent="0.2">
      <c r="M100" s="176"/>
    </row>
    <row r="101" spans="1:14" x14ac:dyDescent="0.2">
      <c r="M101" s="281"/>
    </row>
    <row r="102" spans="1:14" x14ac:dyDescent="0.2">
      <c r="M102" s="281"/>
    </row>
    <row r="104" spans="1:14" x14ac:dyDescent="0.2">
      <c r="M104" s="281"/>
    </row>
  </sheetData>
  <mergeCells count="28">
    <mergeCell ref="L1:L2"/>
    <mergeCell ref="K1:K2"/>
    <mergeCell ref="J1:J2"/>
    <mergeCell ref="A1:A2"/>
    <mergeCell ref="C1:C2"/>
    <mergeCell ref="B74:H74"/>
    <mergeCell ref="B75:H75"/>
    <mergeCell ref="A72:B72"/>
    <mergeCell ref="I1:I2"/>
    <mergeCell ref="H1:H2"/>
    <mergeCell ref="G1:G2"/>
    <mergeCell ref="F1:F2"/>
    <mergeCell ref="N1:N2"/>
    <mergeCell ref="D1:D2"/>
    <mergeCell ref="E1:E2"/>
    <mergeCell ref="B90:H90"/>
    <mergeCell ref="B76:H76"/>
    <mergeCell ref="B81:H81"/>
    <mergeCell ref="B88:H88"/>
    <mergeCell ref="B89:H89"/>
    <mergeCell ref="B86:H86"/>
    <mergeCell ref="B80:H80"/>
    <mergeCell ref="B82:H82"/>
    <mergeCell ref="B83:H83"/>
    <mergeCell ref="B85:H85"/>
    <mergeCell ref="M1:M2"/>
    <mergeCell ref="B1:B2"/>
    <mergeCell ref="B73:H73"/>
  </mergeCells>
  <hyperlinks>
    <hyperlink ref="A75" r:id="rId1"/>
    <hyperlink ref="A76" r:id="rId2"/>
    <hyperlink ref="A81" r:id="rId3"/>
    <hyperlink ref="A82" r:id="rId4"/>
    <hyperlink ref="A86" r:id="rId5"/>
    <hyperlink ref="A85" r:id="rId6"/>
    <hyperlink ref="A88" r:id="rId7"/>
    <hyperlink ref="A89" r:id="rId8"/>
    <hyperlink ref="A90" r:id="rId9"/>
    <hyperlink ref="A91" r:id="rId10" display="https://www.nornickel.com/upload/iblock/5ed/Information_Policy.pdf"/>
    <hyperlink ref="A73" r:id="rId11" location="charter-and-evidence-of-the-fts"/>
    <hyperlink ref="A74" r:id="rId12" display="https://www.nornickel.com/upload/iblock/621/business_ethics_code.pdf"/>
    <hyperlink ref="A77" r:id="rId13" display="https://www.nornickel.com/upload/iblock/f62/terms_of_reference_of_audit_committee_of_board_of_directors_of_pjsc_mmc_norilsk_nickel.pdf"/>
    <hyperlink ref="A79" r:id="rId14" display="https://www.nornickel.com/upload/iblock/e98/regulations_on_the_sustainable_development_and_climate_change_committee_of_pjsc_mmc_norilsk_nickel_s_board_of_directors.pdf"/>
    <hyperlink ref="A78" r:id="rId15" display="https://www.nornickel.com/upload/iblock/8ee/CGNandR_Committee_Terms_of_Reference.pdf"/>
    <hyperlink ref="A83" r:id="rId16" display="https://www.nornickel.com/upload/iblock/195/REMUNERATION_POLICY_for_MEMBERS_OF_BOARD_OF_DIRECTORS_.pdf"/>
    <hyperlink ref="A84" r:id="rId17" display="https://www.nornickel.com/upload/iblock/f81/Board_Succession_Policy.pdf"/>
    <hyperlink ref="A87" r:id="rId18" display="https://www.nornickel.com/upload/iblock/b7c/Regulations_on_Corporate_Secretary_160120.pdf"/>
    <hyperlink ref="A92" r:id="rId19" display="https://www.nornickel.com/upload/iblock/896/Quality_Policy_271117.pdf"/>
    <hyperlink ref="A80" r:id="rId20"/>
    <hyperlink ref="P2" location="MENU!A1" display="Menu"/>
  </hyperlinks>
  <pageMargins left="0.25" right="0.25" top="0.75" bottom="0.75" header="0.3" footer="0.3"/>
  <pageSetup paperSize="9" scale="56" orientation="portrait"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A566946-93EE-47A1-8911-AC4C875B3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1FDB9B-0F45-4739-BAB4-D26ED936B46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e6c4e6a-6d57-47d6-9288-076169c1f698"/>
    <ds:schemaRef ds:uri="http://www.w3.org/XML/1998/namespace"/>
    <ds:schemaRef ds:uri="http://purl.org/dc/dcmitype/"/>
  </ds:schemaRefs>
</ds:datastoreItem>
</file>

<file path=customXml/itemProps3.xml><?xml version="1.0" encoding="utf-8"?>
<ds:datastoreItem xmlns:ds="http://schemas.openxmlformats.org/officeDocument/2006/customXml" ds:itemID="{9884983B-CEE7-46DC-8DE6-4E71E73D8A1A}">
  <ds:schemaRefs>
    <ds:schemaRef ds:uri="http://schemas.microsoft.com/sharepoint/v3/contenttype/forms"/>
  </ds:schemaRefs>
</ds:datastoreItem>
</file>

<file path=customXml/itemProps4.xml><?xml version="1.0" encoding="utf-8"?>
<ds:datastoreItem xmlns:ds="http://schemas.openxmlformats.org/officeDocument/2006/customXml" ds:itemID="{0A279FCB-5F55-4740-BB85-09B9D214F1D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MENU</vt:lpstr>
      <vt:lpstr>ENVIRONMENT</vt:lpstr>
      <vt:lpstr>SOCIAL</vt:lpstr>
      <vt:lpstr>GOVERNANCE</vt:lpstr>
      <vt:lpstr>ENVIRONMENT!Область_печати</vt:lpstr>
      <vt:lpstr>GOVERNANCE!Область_печати</vt:lpstr>
      <vt:lpstr>MENU!Область_печати</vt:lpstr>
      <vt:lpstr>SOCIAL!Область_печати</vt:lpstr>
    </vt:vector>
  </TitlesOfParts>
  <Company>ПАО "ГМК "Норильский никель"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AlekseenkoVV@nornik.ru</dc:creator>
  <cp:lastModifiedBy>Алексеенко Валерия Валерьевна</cp:lastModifiedBy>
  <cp:lastPrinted>2017-11-27T11:44:17Z</cp:lastPrinted>
  <dcterms:created xsi:type="dcterms:W3CDTF">2016-12-15T13:22:24Z</dcterms:created>
  <dcterms:modified xsi:type="dcterms:W3CDTF">2023-08-15T10:30:19Z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